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smialliance.sharepoint.com/sites/td/Shared Documents/4. Technology Development Milestones/Task 2.2 - Tech Eval and Imp An/Milestone 2.2.9/"/>
    </mc:Choice>
  </mc:AlternateContent>
  <xr:revisionPtr revIDLastSave="13" documentId="8_{045537CF-1257-43D3-B9C5-D52E75922845}" xr6:coauthVersionLast="45" xr6:coauthVersionMax="45" xr10:uidLastSave="{C48DBF58-9070-4BD4-84EC-DE319E071D0D}"/>
  <bookViews>
    <workbookView xWindow="-120" yWindow="-120" windowWidth="29040" windowHeight="15840" tabRatio="969" xr2:uid="{00000000-000D-0000-FFFF-FFFF00000000}"/>
  </bookViews>
  <sheets>
    <sheet name="Calculator" sheetId="25" r:id="rId1"/>
    <sheet name="EE CO2e" sheetId="20" r:id="rId2"/>
    <sheet name="Process Data EE CO2e" sheetId="52" r:id="rId3"/>
    <sheet name="EE CO2e solvents+processes" sheetId="41" r:id="rId4"/>
    <sheet name="Plastics recycling calculator" sheetId="44" r:id="rId5"/>
    <sheet name="Ex 4-Solvent HDPE" sheetId="47" r:id="rId6"/>
    <sheet name="Ex1-Increase rPET" sheetId="36" r:id="rId7"/>
    <sheet name="Ex 2-Reduced Yield Loss" sheetId="39" r:id="rId8"/>
    <sheet name="Ex 3-Improved Recycling" sheetId="40" r:id="rId9"/>
    <sheet name="REMAN Calculator (BETA)" sheetId="49" r:id="rId10"/>
    <sheet name="Calculator for material EE CO2e" sheetId="50" r:id="rId11"/>
    <sheet name="Primary and Reman EE CO2e" sheetId="51" r:id="rId12"/>
  </sheets>
  <definedNames>
    <definedName name="_xlcn.WorksheetConnection_CopyofREMADEdraftcalculator2.xlsxTable11" hidden="1">techstage</definedName>
    <definedName name="_xlcn.WorksheetConnection_CopyofREMADEdraftcalculator2.xlsxTable21" hidden="1">SystemBoundary</definedName>
    <definedName name="Butyl_Rubber_Synthetics">#REF!</definedName>
    <definedName name="computer_average">#REF!</definedName>
    <definedName name="Cotton">#REF!</definedName>
    <definedName name="CRT">#REF!</definedName>
    <definedName name="CRT_glass">#REF!</definedName>
    <definedName name="E_waste_lead">#REF!</definedName>
    <definedName name="Eglass_Fiber">#REF!</definedName>
    <definedName name="Electronics">#REF!</definedName>
    <definedName name="Fibers">#REF!</definedName>
    <definedName name="HDPE">#REF!</definedName>
    <definedName name="LDPE">#REF!</definedName>
    <definedName name="Metals">#REF!</definedName>
    <definedName name="mobile_phone">#REF!</definedName>
    <definedName name="Nat_Rubber">#REF!</definedName>
    <definedName name="Paper_Cardboard">#REF!</definedName>
    <definedName name="PE">#REF!</definedName>
    <definedName name="PES">#REF!</definedName>
    <definedName name="PET">#REF!</definedName>
    <definedName name="Phenolics">#REF!</definedName>
    <definedName name="Polyamide_Nylon">#REF!</definedName>
    <definedName name="Polymers">#REF!</definedName>
    <definedName name="PP">#REF!</definedName>
    <definedName name="PS">#REF!</definedName>
    <definedName name="PUR">#REF!</definedName>
    <definedName name="PVC">#REF!</definedName>
  </definedNames>
  <calcPr calcId="191028"/>
  <extLst>
    <ext xmlns:x15="http://schemas.microsoft.com/office/spreadsheetml/2010/11/main" uri="{FCE2AD5D-F65C-4FA6-A056-5C36A1767C68}">
      <x15:dataModel>
        <x15:modelTables>
          <x15:modelTable id="Table2" name="Table2" connection="WorksheetConnection_Copy of REMADE draft calculator2.xlsx!Table2"/>
          <x15:modelTable id="Table1" name="Table1" connection="WorksheetConnection_Copy of REMADE draft calculator2.xlsx!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 i="49" l="1"/>
  <c r="D39" i="49"/>
  <c r="D16" i="49" l="1"/>
  <c r="D17" i="49"/>
  <c r="J13" i="51" l="1"/>
  <c r="I13" i="51"/>
  <c r="H13" i="51"/>
  <c r="F13" i="51"/>
  <c r="E13" i="51"/>
  <c r="D13" i="51"/>
  <c r="C13" i="51"/>
  <c r="G13" i="51" s="1"/>
  <c r="J12" i="51"/>
  <c r="I12" i="51"/>
  <c r="H12" i="51"/>
  <c r="G12" i="51"/>
  <c r="F12" i="51"/>
  <c r="E12" i="51"/>
  <c r="D12" i="51"/>
  <c r="C12" i="51"/>
  <c r="F11" i="51"/>
  <c r="D11" i="51"/>
  <c r="C11" i="51"/>
  <c r="J10" i="51"/>
  <c r="I10" i="51"/>
  <c r="H10" i="51"/>
  <c r="G10" i="51"/>
  <c r="F10" i="51"/>
  <c r="E10" i="51"/>
  <c r="D10" i="51"/>
  <c r="C10" i="51"/>
  <c r="F9" i="51"/>
  <c r="E9" i="51"/>
  <c r="D9" i="51"/>
  <c r="C9" i="51"/>
  <c r="F8" i="51"/>
  <c r="D8" i="51"/>
  <c r="C8" i="51"/>
  <c r="H13" i="50"/>
  <c r="D13" i="50"/>
  <c r="I10" i="50"/>
  <c r="I13" i="50" s="1"/>
  <c r="H10" i="50"/>
  <c r="H14" i="50" s="1"/>
  <c r="G10" i="50"/>
  <c r="G13" i="50" s="1"/>
  <c r="F10" i="50"/>
  <c r="F14" i="50" s="1"/>
  <c r="E10" i="50"/>
  <c r="E14" i="50" s="1"/>
  <c r="D10" i="50"/>
  <c r="D14" i="50" s="1"/>
  <c r="D43" i="49"/>
  <c r="D42" i="49"/>
  <c r="D44" i="49" s="1"/>
  <c r="D34" i="49"/>
  <c r="D32" i="49"/>
  <c r="D30" i="49"/>
  <c r="D22" i="49"/>
  <c r="D15" i="49"/>
  <c r="D37" i="49" s="1"/>
  <c r="D14" i="49"/>
  <c r="D36" i="49" s="1"/>
  <c r="D13" i="49"/>
  <c r="D35" i="49" s="1"/>
  <c r="D10" i="49"/>
  <c r="D9" i="49"/>
  <c r="D11" i="49" s="1"/>
  <c r="D33" i="49" s="1"/>
  <c r="E13" i="50" l="1"/>
  <c r="J13" i="50" s="1"/>
  <c r="I14" i="50"/>
  <c r="F13" i="50"/>
  <c r="J14" i="50"/>
  <c r="J10" i="50"/>
  <c r="G14" i="50"/>
  <c r="D41" i="49"/>
  <c r="D31" i="49"/>
  <c r="D40" i="49" s="1"/>
  <c r="D18" i="49"/>
  <c r="D19" i="49"/>
  <c r="D23" i="49" l="1"/>
  <c r="D24" i="49" s="1"/>
  <c r="D45" i="49"/>
  <c r="D46" i="49" s="1"/>
  <c r="D55" i="49" l="1"/>
  <c r="D53" i="49"/>
  <c r="D54" i="49"/>
  <c r="D49" i="49"/>
  <c r="D50" i="49" l="1"/>
  <c r="D52" i="49"/>
  <c r="D51" i="49"/>
  <c r="F33" i="44" l="1"/>
  <c r="F33" i="47"/>
  <c r="F105" i="47"/>
  <c r="F103" i="47"/>
  <c r="F101" i="47"/>
  <c r="F99" i="47"/>
  <c r="F97" i="47"/>
  <c r="F114" i="47" s="1"/>
  <c r="F91" i="47"/>
  <c r="F88" i="47"/>
  <c r="F92" i="47" s="1"/>
  <c r="F95" i="47" s="1"/>
  <c r="F113" i="47" s="1"/>
  <c r="F78" i="47"/>
  <c r="F75" i="47"/>
  <c r="F79" i="47" s="1"/>
  <c r="F83" i="47" s="1"/>
  <c r="F112" i="47" s="1"/>
  <c r="F70" i="47"/>
  <c r="F111" i="47" s="1"/>
  <c r="F57" i="47"/>
  <c r="F55" i="47"/>
  <c r="F51" i="47"/>
  <c r="F47" i="47"/>
  <c r="F44" i="47"/>
  <c r="F43" i="47"/>
  <c r="F42" i="47"/>
  <c r="E40" i="47"/>
  <c r="F41" i="47" s="1"/>
  <c r="F35" i="47"/>
  <c r="F24" i="47"/>
  <c r="F22" i="47"/>
  <c r="F20" i="47"/>
  <c r="F18" i="47"/>
  <c r="F16" i="47"/>
  <c r="F14" i="47"/>
  <c r="F12" i="47"/>
  <c r="F8" i="47"/>
  <c r="F108" i="47" s="1"/>
  <c r="F55" i="44"/>
  <c r="F51" i="44"/>
  <c r="F47" i="44"/>
  <c r="F75" i="44"/>
  <c r="F106" i="47" l="1"/>
  <c r="F115" i="47" s="1"/>
  <c r="F58" i="47"/>
  <c r="F110" i="47" s="1"/>
  <c r="F25" i="47"/>
  <c r="F109" i="47" s="1"/>
  <c r="F70" i="44"/>
  <c r="F91" i="44"/>
  <c r="F22" i="44"/>
  <c r="F20" i="44"/>
  <c r="F18" i="44"/>
  <c r="F16" i="44"/>
  <c r="F14" i="44"/>
  <c r="F12" i="44"/>
  <c r="F78" i="44"/>
  <c r="F43" i="44"/>
  <c r="F42" i="44"/>
  <c r="F8" i="44"/>
  <c r="F116" i="47" l="1"/>
  <c r="F117" i="47" s="1"/>
  <c r="F97" i="44"/>
  <c r="D34" i="41" l="1"/>
  <c r="F88" i="44" l="1"/>
  <c r="F111" i="44"/>
  <c r="F114" i="44"/>
  <c r="F105" i="44"/>
  <c r="F103" i="44"/>
  <c r="F101" i="44"/>
  <c r="F99" i="44"/>
  <c r="F57" i="44"/>
  <c r="F44" i="44"/>
  <c r="E40" i="44"/>
  <c r="F41" i="44" s="1"/>
  <c r="F35" i="44"/>
  <c r="F24" i="44"/>
  <c r="F92" i="44" l="1"/>
  <c r="F95" i="44" s="1"/>
  <c r="F113" i="44" s="1"/>
  <c r="F79" i="44"/>
  <c r="F83" i="44" s="1"/>
  <c r="F112" i="44" s="1"/>
  <c r="F58" i="44"/>
  <c r="F110" i="44" s="1"/>
  <c r="F106" i="44"/>
  <c r="F115" i="44" s="1"/>
  <c r="F25" i="44"/>
  <c r="F109" i="44" s="1"/>
  <c r="F108" i="44" l="1"/>
  <c r="F116" i="44" s="1"/>
  <c r="F117" i="44" s="1"/>
  <c r="D27" i="41"/>
  <c r="D29" i="41" l="1"/>
  <c r="D30" i="41"/>
  <c r="D31" i="41"/>
  <c r="D32" i="41"/>
  <c r="D33" i="41"/>
  <c r="D28" i="41"/>
  <c r="D13" i="25" l="1"/>
  <c r="D16" i="25" s="1"/>
  <c r="E13" i="25"/>
  <c r="E16" i="25" s="1"/>
  <c r="E27" i="25"/>
  <c r="E30" i="25" s="1"/>
  <c r="F13" i="25"/>
  <c r="F16" i="25"/>
  <c r="F27" i="25"/>
  <c r="F30" i="25"/>
  <c r="G13" i="25"/>
  <c r="G16" i="25"/>
  <c r="G27" i="25"/>
  <c r="G30" i="25"/>
  <c r="D27" i="25"/>
  <c r="D30" i="25" s="1"/>
  <c r="E14" i="25"/>
  <c r="E17" i="25" s="1"/>
  <c r="E28" i="25"/>
  <c r="E31" i="25" s="1"/>
  <c r="F28" i="25"/>
  <c r="G28" i="25"/>
  <c r="D14" i="25"/>
  <c r="D17" i="25" s="1"/>
  <c r="D28" i="25"/>
  <c r="D31" i="25" s="1"/>
  <c r="F31" i="25"/>
  <c r="G31" i="25"/>
  <c r="F14" i="25"/>
  <c r="F17" i="25" s="1"/>
  <c r="F38" i="25" s="1"/>
  <c r="G14" i="25"/>
  <c r="G17" i="25"/>
  <c r="G38" i="25"/>
  <c r="G34" i="25" l="1"/>
  <c r="F34" i="25"/>
  <c r="E34" i="25"/>
  <c r="E35" i="25" s="1"/>
  <c r="H30" i="25"/>
  <c r="H31" i="25"/>
  <c r="F37" i="25"/>
  <c r="F36" i="25"/>
  <c r="F35" i="25"/>
  <c r="G35" i="25"/>
  <c r="G37" i="25"/>
  <c r="G36" i="25"/>
  <c r="H17" i="25"/>
  <c r="D40" i="25"/>
  <c r="D38" i="25"/>
  <c r="E38" i="25"/>
  <c r="H16" i="25"/>
  <c r="D34" i="25"/>
  <c r="D39" i="25"/>
  <c r="E36" i="25" l="1"/>
  <c r="E37" i="25"/>
  <c r="H40" i="25"/>
  <c r="H38" i="25"/>
  <c r="D35" i="25"/>
  <c r="D36" i="25"/>
  <c r="D37" i="25"/>
  <c r="H34" i="25"/>
  <c r="H39" i="25"/>
  <c r="H37" i="25" l="1"/>
  <c r="H35" i="25"/>
  <c r="H3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Brian Riise</author>
  </authors>
  <commentList>
    <comment ref="B6" authorId="0" shapeId="0" xr:uid="{59FF4CF2-1315-47CD-93F0-BDD3302669FE}">
      <text>
        <r>
          <rPr>
            <b/>
            <sz val="9"/>
            <color indexed="81"/>
            <rFont val="Tahoma"/>
            <family val="2"/>
          </rPr>
          <t>Brian Riise:</t>
        </r>
        <r>
          <rPr>
            <sz val="9"/>
            <color indexed="81"/>
            <rFont val="Tahoma"/>
            <family val="2"/>
          </rPr>
          <t xml:space="preserve">
Enter material name if desired</t>
        </r>
      </text>
    </comment>
    <comment ref="B7" authorId="0" shapeId="0" xr:uid="{CEEE0865-2F2E-4A65-A230-7809AC862A50}">
      <text>
        <r>
          <rPr>
            <b/>
            <sz val="9"/>
            <color indexed="81"/>
            <rFont val="Tahoma"/>
            <family val="2"/>
          </rPr>
          <t>Brian Riise:</t>
        </r>
        <r>
          <rPr>
            <sz val="9"/>
            <color indexed="81"/>
            <rFont val="Tahoma"/>
            <family val="2"/>
          </rPr>
          <t xml:space="preserve">
Enter the current recycle content of the material.</t>
        </r>
      </text>
    </comment>
    <comment ref="B8" authorId="0" shapeId="0" xr:uid="{22E28B92-4532-4FC7-9433-EE38179C7055}">
      <text>
        <r>
          <rPr>
            <b/>
            <sz val="9"/>
            <color indexed="81"/>
            <rFont val="Tahoma"/>
            <family val="2"/>
          </rPr>
          <t>Brian Riise:</t>
        </r>
        <r>
          <rPr>
            <sz val="9"/>
            <color indexed="81"/>
            <rFont val="Tahoma"/>
            <family val="2"/>
          </rPr>
          <t xml:space="preserve">
The current yield of feed material that ends up as product.</t>
        </r>
      </text>
    </comment>
    <comment ref="B9" authorId="0" shapeId="0" xr:uid="{778A99CC-4566-45E1-95C5-9EF38528B44F}">
      <text>
        <r>
          <rPr>
            <b/>
            <sz val="9"/>
            <color indexed="81"/>
            <rFont val="Tahoma"/>
            <family val="2"/>
          </rPr>
          <t>Brian Riise:</t>
        </r>
        <r>
          <rPr>
            <sz val="9"/>
            <color indexed="81"/>
            <rFont val="Tahoma"/>
            <family val="2"/>
          </rPr>
          <t xml:space="preserve">
Look up vales of the embodied energy of the selected material in column C (primary material) in the "EE CO2" tab.  If data is not available enter "0" and ignore calculation of embodied energy change.</t>
        </r>
      </text>
    </comment>
    <comment ref="B10" authorId="0" shapeId="0" xr:uid="{5DA85627-B8BC-4577-AA9D-987B896F3617}">
      <text>
        <r>
          <rPr>
            <b/>
            <sz val="9"/>
            <color indexed="81"/>
            <rFont val="Tahoma"/>
            <family val="2"/>
          </rPr>
          <t>Brian Riise:</t>
        </r>
        <r>
          <rPr>
            <sz val="9"/>
            <color indexed="81"/>
            <rFont val="Tahoma"/>
            <family val="2"/>
          </rPr>
          <t xml:space="preserve">
Yoy may look up vales of the embodied energy of the selected material in column D (secondary material) in the "EE CO2" tab.  For plastics, you may also choose to use the "Plastics recycling calculator" for mechanically recycled plastics.  For chemical or solvent-based recycling of plastics, use values from the "Plastics recycling calculator" tab.</t>
        </r>
      </text>
    </comment>
    <comment ref="B11" authorId="0" shapeId="0" xr:uid="{8EF4F2AE-8509-428D-9FBB-122C0202AC57}">
      <text>
        <r>
          <rPr>
            <b/>
            <sz val="9"/>
            <color indexed="81"/>
            <rFont val="Tahoma"/>
            <family val="2"/>
          </rPr>
          <t>Brian Riise:</t>
        </r>
        <r>
          <rPr>
            <sz val="9"/>
            <color indexed="81"/>
            <rFont val="Tahoma"/>
            <family val="2"/>
          </rPr>
          <t xml:space="preserve">
Look up vales of the CO2 emissions of the selected material in column E (primary material) in the "EE CO2" tab.  If data is not available enter "0" and ignore calculation of embodied energy change.</t>
        </r>
      </text>
    </comment>
    <comment ref="B12" authorId="0" shapeId="0" xr:uid="{580B7F95-EBCB-4BD0-8C19-AFCC45B7A68B}">
      <text>
        <r>
          <rPr>
            <b/>
            <sz val="9"/>
            <color indexed="81"/>
            <rFont val="Tahoma"/>
            <family val="2"/>
          </rPr>
          <t>Brian Riise:</t>
        </r>
        <r>
          <rPr>
            <sz val="9"/>
            <color indexed="81"/>
            <rFont val="Tahoma"/>
            <family val="2"/>
          </rPr>
          <t xml:space="preserve">
Look up vales of the CO2 emissions of the selected material in column F (secondary material) in the "EE CO2" tab.   For plastics, you may also choose to use the "Plastics recycling calculator" for mechanically recycled plastics.  For chemical or solvent-based recycling of plastics, use values from the "Plastics recycling calculator" tab.</t>
        </r>
      </text>
    </comment>
    <comment ref="B13" authorId="0" shapeId="0" xr:uid="{024AAD6B-90A9-4194-A3E6-52B15384636B}">
      <text>
        <r>
          <rPr>
            <b/>
            <sz val="9"/>
            <color indexed="81"/>
            <rFont val="Tahoma"/>
            <family val="2"/>
          </rPr>
          <t>Brian Riise:</t>
        </r>
        <r>
          <rPr>
            <sz val="9"/>
            <color indexed="81"/>
            <rFont val="Tahoma"/>
            <family val="2"/>
          </rPr>
          <t xml:space="preserve">
This is the calculated weight average embodied energy of the selected material in the current product of interest.  In future versions, this should tie directly to data in the "EE CO2" tab.  It also divides by the yield determine the embodidied energy of material ending up in the the product. </t>
        </r>
      </text>
    </comment>
    <comment ref="B14" authorId="0" shapeId="0" xr:uid="{78D35C96-7EB0-4F3F-81F4-C989E82B375E}">
      <text>
        <r>
          <rPr>
            <b/>
            <sz val="9"/>
            <color indexed="81"/>
            <rFont val="Tahoma"/>
            <family val="2"/>
          </rPr>
          <t>Brian Riise:</t>
        </r>
        <r>
          <rPr>
            <sz val="9"/>
            <color indexed="81"/>
            <rFont val="Tahoma"/>
            <family val="2"/>
          </rPr>
          <t xml:space="preserve">
This is the calculated weight average CO2 emissions of the selected material in the current product of interest.  In future versions, this should tie directly to data in the "EE CO2" tab.  It also divides by the yield determine the embodidied energy of material ending up in the the product. </t>
        </r>
      </text>
    </comment>
    <comment ref="B15" authorId="0" shapeId="0" xr:uid="{16175AD6-BA98-40BC-916D-941AF198430D}">
      <text>
        <r>
          <rPr>
            <b/>
            <sz val="9"/>
            <color indexed="81"/>
            <rFont val="Tahoma"/>
            <family val="2"/>
          </rPr>
          <t>Brian Riise:</t>
        </r>
        <r>
          <rPr>
            <sz val="9"/>
            <color indexed="81"/>
            <rFont val="Tahoma"/>
            <family val="2"/>
          </rPr>
          <t xml:space="preserve">
This the the amount of the material type in the product of interest</t>
        </r>
      </text>
    </comment>
    <comment ref="B17" authorId="0" shapeId="0" xr:uid="{47D69D56-6CF8-4D8C-99D4-D100C5256D93}">
      <text>
        <r>
          <rPr>
            <b/>
            <sz val="9"/>
            <color indexed="81"/>
            <rFont val="Tahoma"/>
            <family val="2"/>
          </rPr>
          <t>Brian Riise:</t>
        </r>
        <r>
          <rPr>
            <sz val="9"/>
            <color indexed="81"/>
            <rFont val="Tahoma"/>
            <family val="2"/>
          </rPr>
          <t xml:space="preserve">
Enter the current recycle Look up vales in rows 36 through 68 in the "EE CO2" tab.  If data is not available enter "0" and ignore calculation of embodied energy change.</t>
        </r>
      </text>
    </comment>
    <comment ref="B20" authorId="0" shapeId="0" xr:uid="{05250AF3-150F-4FE2-B593-F1590EBAAF8B}">
      <text>
        <r>
          <rPr>
            <b/>
            <sz val="9"/>
            <color indexed="81"/>
            <rFont val="Tahoma"/>
            <family val="2"/>
          </rPr>
          <t>Brian Riise:</t>
        </r>
        <r>
          <rPr>
            <sz val="9"/>
            <color indexed="81"/>
            <rFont val="Tahoma"/>
            <family val="2"/>
          </rPr>
          <t xml:space="preserve">
Enter material name if desired</t>
        </r>
      </text>
    </comment>
    <comment ref="B21" authorId="0" shapeId="0" xr:uid="{00BFB147-9FB9-419E-B97C-77C69F5E9757}">
      <text>
        <r>
          <rPr>
            <b/>
            <sz val="9"/>
            <color indexed="81"/>
            <rFont val="Tahoma"/>
            <family val="2"/>
          </rPr>
          <t>Brian Riise:</t>
        </r>
        <r>
          <rPr>
            <sz val="9"/>
            <color indexed="81"/>
            <rFont val="Tahoma"/>
            <family val="2"/>
          </rPr>
          <t xml:space="preserve">
Enter the potential future recycle content of the material.</t>
        </r>
      </text>
    </comment>
    <comment ref="B22" authorId="0" shapeId="0" xr:uid="{B43AEC9A-DD9A-48C5-A2FC-148F46273167}">
      <text>
        <r>
          <rPr>
            <b/>
            <sz val="9"/>
            <color indexed="81"/>
            <rFont val="Tahoma"/>
            <family val="2"/>
          </rPr>
          <t>Brian Riise:</t>
        </r>
        <r>
          <rPr>
            <sz val="9"/>
            <color indexed="81"/>
            <rFont val="Tahoma"/>
            <family val="2"/>
          </rPr>
          <t xml:space="preserve">
The expected future yield of feed material that ends up as product.</t>
        </r>
      </text>
    </comment>
    <comment ref="B23" authorId="0" shapeId="0" xr:uid="{126D9D91-936D-4D82-90F8-9E0AAB69B8E3}">
      <text>
        <r>
          <rPr>
            <b/>
            <sz val="9"/>
            <color indexed="81"/>
            <rFont val="Tahoma"/>
            <family val="2"/>
          </rPr>
          <t>Brian Riise:</t>
        </r>
        <r>
          <rPr>
            <sz val="9"/>
            <color indexed="81"/>
            <rFont val="Tahoma"/>
            <family val="2"/>
          </rPr>
          <t xml:space="preserve">
Look up vales of the embodied energy of the selected material in column C (primary material) in the "EE CO2" tab.  If data is not available enter "0" and ignore calculation of embodied energy change.</t>
        </r>
      </text>
    </comment>
    <comment ref="B24" authorId="0" shapeId="0" xr:uid="{FA20B9CA-0B49-4013-A08A-23E2777B4AE3}">
      <text>
        <r>
          <rPr>
            <b/>
            <sz val="9"/>
            <color indexed="81"/>
            <rFont val="Tahoma"/>
            <family val="2"/>
          </rPr>
          <t>Brian Riise:</t>
        </r>
        <r>
          <rPr>
            <sz val="9"/>
            <color indexed="81"/>
            <rFont val="Tahoma"/>
            <family val="2"/>
          </rPr>
          <t xml:space="preserve">
Yoy may look up vales of the embodied energy of the selected material in column D (secondary material) in the "EE CO2" tab.  For plastics, you may also choose to use the "Plastics recycling calculator" for mechanically recycled plastics.  For chemical or solvent-based recycling of plastics, use values from the "Plastics recycling calculator" tab.</t>
        </r>
      </text>
    </comment>
    <comment ref="B25" authorId="0" shapeId="0" xr:uid="{282D7FFC-B1E8-4CAD-A1E5-25BB85C59655}">
      <text>
        <r>
          <rPr>
            <b/>
            <sz val="9"/>
            <color indexed="81"/>
            <rFont val="Tahoma"/>
            <family val="2"/>
          </rPr>
          <t>Brian Riise:</t>
        </r>
        <r>
          <rPr>
            <sz val="9"/>
            <color indexed="81"/>
            <rFont val="Tahoma"/>
            <family val="2"/>
          </rPr>
          <t xml:space="preserve">
Look up vales of the CO2 emissions of the selected material in column E (primary material) in the "EE CO2" tab.  If data is not available enter "0" and ignore calculation of embodied energy change.</t>
        </r>
      </text>
    </comment>
    <comment ref="B26" authorId="0" shapeId="0" xr:uid="{BAD492DB-5AB7-449C-9DE3-AC2245D5F200}">
      <text>
        <r>
          <rPr>
            <b/>
            <sz val="9"/>
            <color indexed="81"/>
            <rFont val="Tahoma"/>
            <family val="2"/>
          </rPr>
          <t>Brian Riise:</t>
        </r>
        <r>
          <rPr>
            <sz val="9"/>
            <color indexed="81"/>
            <rFont val="Tahoma"/>
            <family val="2"/>
          </rPr>
          <t xml:space="preserve">
Look up vales of the CO2 emissions of the selected material in column F (secondary material) in the "EE CO2" tab.   For plastics, you may also choose to use the "Plastics recycling calculator" for mechanically recycled plastics.  For chemical or solvent-based recycling of plastics, use values from the "Plastics recycling calculator" tab.</t>
        </r>
      </text>
    </comment>
    <comment ref="B27" authorId="0" shapeId="0" xr:uid="{3211F0F6-B8DF-42CF-865A-065608406D9E}">
      <text>
        <r>
          <rPr>
            <b/>
            <sz val="9"/>
            <color indexed="81"/>
            <rFont val="Tahoma"/>
            <family val="2"/>
          </rPr>
          <t>Brian Riise:</t>
        </r>
        <r>
          <rPr>
            <sz val="9"/>
            <color indexed="81"/>
            <rFont val="Tahoma"/>
            <family val="2"/>
          </rPr>
          <t xml:space="preserve">
This is the calculated weight average embodied energy of the selected material in the future product of interest.  In future versions of the calcualtor tool, this should tie directly to data in the "EE CO2" tab.  It also divides by the yield determine the embodidied energy of material ending up in the the product. </t>
        </r>
      </text>
    </comment>
    <comment ref="B28" authorId="0" shapeId="0" xr:uid="{F72287D0-761F-4C56-8267-507389385436}">
      <text>
        <r>
          <rPr>
            <b/>
            <sz val="9"/>
            <color indexed="81"/>
            <rFont val="Tahoma"/>
            <family val="2"/>
          </rPr>
          <t>Brian Riise:</t>
        </r>
        <r>
          <rPr>
            <sz val="9"/>
            <color indexed="81"/>
            <rFont val="Tahoma"/>
            <family val="2"/>
          </rPr>
          <t xml:space="preserve">
This is the calculated weight average CO2 emissions of the selected material in the future product of interest.  In future versions of the calculator tool, this should tie directly to data in the "EE CO2" tab.  It also divides by the yield determine the embodied energy of material ending up in the the product. </t>
        </r>
      </text>
    </comment>
    <comment ref="B29" authorId="0" shapeId="0" xr:uid="{AF4D0B57-C6BC-4A93-B577-821EC71BAC6E}">
      <text>
        <r>
          <rPr>
            <b/>
            <sz val="9"/>
            <color indexed="81"/>
            <rFont val="Tahoma"/>
            <family val="2"/>
          </rPr>
          <t>Brian Riise:</t>
        </r>
        <r>
          <rPr>
            <sz val="9"/>
            <color indexed="81"/>
            <rFont val="Tahoma"/>
            <family val="2"/>
          </rPr>
          <t xml:space="preserve">
This the the amount of the material type in the product of interest</t>
        </r>
      </text>
    </comment>
    <comment ref="B31" authorId="0" shapeId="0" xr:uid="{C441A065-809F-42AE-8212-EFADE446C78C}">
      <text>
        <r>
          <rPr>
            <b/>
            <sz val="9"/>
            <color indexed="81"/>
            <rFont val="Tahoma"/>
            <family val="2"/>
          </rPr>
          <t>Brian Riise:</t>
        </r>
        <r>
          <rPr>
            <sz val="9"/>
            <color indexed="81"/>
            <rFont val="Tahoma"/>
            <family val="2"/>
          </rPr>
          <t xml:space="preserve">
Enter the current recycle Look up vales in rows 36 through 68 in the "EE CO2" tab.  If data is not available enter "0" and ignore calculation of embodied energy change.</t>
        </r>
      </text>
    </comment>
    <comment ref="B35" authorId="0" shapeId="0" xr:uid="{3C9F8458-38FC-4D1F-89D5-3130933A6D7E}">
      <text>
        <r>
          <rPr>
            <b/>
            <sz val="9"/>
            <color indexed="81"/>
            <rFont val="Tahoma"/>
            <family val="2"/>
          </rPr>
          <t>Brian Riise:</t>
        </r>
        <r>
          <rPr>
            <sz val="9"/>
            <color indexed="81"/>
            <rFont val="Tahoma"/>
            <family val="2"/>
          </rPr>
          <t xml:space="preserve">
The reduction in embodied energy energy in PetaJoules (1 PJ is equal to 10^15 Joules).  The value highlighted in bright green should be reported in the proposal.</t>
        </r>
      </text>
    </comment>
    <comment ref="B36" authorId="0" shapeId="0" xr:uid="{1242287E-31CB-4D10-A324-0D14AA22F6D0}">
      <text>
        <r>
          <rPr>
            <b/>
            <sz val="9"/>
            <color indexed="81"/>
            <rFont val="Tahoma"/>
            <family val="2"/>
          </rPr>
          <t>Brian Riise:</t>
        </r>
        <r>
          <rPr>
            <sz val="9"/>
            <color indexed="81"/>
            <rFont val="Tahoma"/>
            <family val="2"/>
          </rPr>
          <t xml:space="preserve">
The reduction in embodied energy energy in trillion Btu (in bright green should be reported in the proposal).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Brian Riise</author>
  </authors>
  <commentList>
    <comment ref="C15" authorId="0" shapeId="0" xr:uid="{1816A1B5-D649-4840-88EC-34C815887BFD}">
      <text>
        <r>
          <rPr>
            <b/>
            <sz val="9"/>
            <color indexed="81"/>
            <rFont val="Tahoma"/>
            <family val="2"/>
          </rPr>
          <t>Brian Riise:</t>
        </r>
        <r>
          <rPr>
            <sz val="9"/>
            <color indexed="81"/>
            <rFont val="Tahoma"/>
            <family val="2"/>
          </rPr>
          <t xml:space="preserve">
need source</t>
        </r>
      </text>
    </comment>
    <comment ref="D15" authorId="0" shapeId="0" xr:uid="{8324368F-BEA3-4CF0-BA90-F9E5825A0F24}">
      <text>
        <r>
          <rPr>
            <b/>
            <sz val="9"/>
            <color indexed="81"/>
            <rFont val="Tahoma"/>
            <family val="2"/>
          </rPr>
          <t>Brian Riise:</t>
        </r>
        <r>
          <rPr>
            <sz val="9"/>
            <color indexed="81"/>
            <rFont val="Tahoma"/>
            <family val="2"/>
          </rPr>
          <t xml:space="preserve">
need source</t>
        </r>
      </text>
    </comment>
    <comment ref="C16" authorId="0" shapeId="0" xr:uid="{24A48019-035B-462D-A4F8-725B3E33BA4B}">
      <text>
        <r>
          <rPr>
            <b/>
            <sz val="9"/>
            <color indexed="81"/>
            <rFont val="Tahoma"/>
            <family val="2"/>
          </rPr>
          <t>Brian Riise:</t>
        </r>
        <r>
          <rPr>
            <sz val="9"/>
            <color indexed="81"/>
            <rFont val="Tahoma"/>
            <family val="2"/>
          </rPr>
          <t xml:space="preserve">
need source</t>
        </r>
      </text>
    </comment>
    <comment ref="D16" authorId="0" shapeId="0" xr:uid="{7292569E-4E1A-4131-BB12-FF7DDC8492D3}">
      <text>
        <r>
          <rPr>
            <b/>
            <sz val="9"/>
            <color indexed="81"/>
            <rFont val="Tahoma"/>
            <family val="2"/>
          </rPr>
          <t>Brian Riise:</t>
        </r>
        <r>
          <rPr>
            <sz val="9"/>
            <color indexed="81"/>
            <rFont val="Tahoma"/>
            <family val="2"/>
          </rPr>
          <t xml:space="preserve">
need source</t>
        </r>
      </text>
    </comment>
    <comment ref="C17" authorId="0" shapeId="0" xr:uid="{60BE66C6-FB4A-4967-8B1F-2F7E49CB31F3}">
      <text>
        <r>
          <rPr>
            <b/>
            <sz val="9"/>
            <color indexed="81"/>
            <rFont val="Tahoma"/>
            <family val="2"/>
          </rPr>
          <t>Brian Riise:</t>
        </r>
        <r>
          <rPr>
            <sz val="9"/>
            <color indexed="81"/>
            <rFont val="Tahoma"/>
            <family val="2"/>
          </rPr>
          <t xml:space="preserve">
need source</t>
        </r>
      </text>
    </comment>
    <comment ref="D17" authorId="0" shapeId="0" xr:uid="{CDC81CA9-B182-41D1-A6DD-F6D012489859}">
      <text>
        <r>
          <rPr>
            <b/>
            <sz val="9"/>
            <color indexed="81"/>
            <rFont val="Tahoma"/>
            <family val="2"/>
          </rPr>
          <t>Brian Riise:</t>
        </r>
        <r>
          <rPr>
            <sz val="9"/>
            <color indexed="81"/>
            <rFont val="Tahoma"/>
            <family val="2"/>
          </rPr>
          <t xml:space="preserve">
need source</t>
        </r>
      </text>
    </comment>
    <comment ref="C26" authorId="0" shapeId="0" xr:uid="{E3A583EC-D77E-4954-8BB1-79D19E597676}">
      <text>
        <r>
          <rPr>
            <b/>
            <sz val="9"/>
            <color indexed="81"/>
            <rFont val="Tahoma"/>
            <charset val="1"/>
          </rPr>
          <t>Brian Riise:</t>
        </r>
        <r>
          <rPr>
            <sz val="9"/>
            <color indexed="81"/>
            <rFont val="Tahoma"/>
            <charset val="1"/>
          </rPr>
          <t xml:space="preserve">
Electricity energy is divided by 0.3, which is the national average efficiency to convert heat to electricity.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Brian Riise</author>
  </authors>
  <commentList>
    <comment ref="D32" authorId="0" shapeId="0" xr:uid="{5F5E2281-F9EF-461E-8854-9DB4794DC2D9}">
      <text>
        <r>
          <rPr>
            <b/>
            <sz val="9"/>
            <color indexed="81"/>
            <rFont val="Tahoma"/>
            <charset val="1"/>
          </rPr>
          <t>Brian Riise:</t>
        </r>
        <r>
          <rPr>
            <sz val="9"/>
            <color indexed="81"/>
            <rFont val="Tahoma"/>
            <charset val="1"/>
          </rPr>
          <t xml:space="preserve">
See https://www.eia.gov/todayinenergy/detail.php?id=41193</t>
        </r>
      </text>
    </comment>
    <comment ref="D33" authorId="0" shapeId="0" xr:uid="{A88BAC1D-93E5-47AE-9B92-2ABF2AA5743E}">
      <text>
        <r>
          <rPr>
            <b/>
            <sz val="9"/>
            <color indexed="81"/>
            <rFont val="Tahoma"/>
            <family val="2"/>
          </rPr>
          <t>Brian Riise:</t>
        </r>
        <r>
          <rPr>
            <sz val="9"/>
            <color indexed="81"/>
            <rFont val="Tahoma"/>
            <family val="2"/>
          </rPr>
          <t xml:space="preserve">
We are ignoring any heat losses here and elsewhere.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Brian Riise</author>
  </authors>
  <commentList>
    <comment ref="D33" authorId="0" shapeId="0" xr:uid="{BE26F36D-04CE-4C13-8FFD-E9777D35C57A}">
      <text>
        <r>
          <rPr>
            <b/>
            <sz val="9"/>
            <color indexed="81"/>
            <rFont val="Tahoma"/>
            <family val="2"/>
          </rPr>
          <t>Brian Riise:</t>
        </r>
        <r>
          <rPr>
            <sz val="9"/>
            <color indexed="81"/>
            <rFont val="Tahoma"/>
            <family val="2"/>
          </rPr>
          <t xml:space="preserve">
We are ignoring any heat losses here and elsewhere.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Brian Riise</author>
  </authors>
  <commentList>
    <comment ref="B5" authorId="0" shapeId="0" xr:uid="{FB7AF6D9-9DD4-414D-BA76-21C52C478C55}">
      <text>
        <r>
          <rPr>
            <b/>
            <sz val="9"/>
            <color indexed="81"/>
            <rFont val="Tahoma"/>
            <family val="2"/>
          </rPr>
          <t>Brian Riise:</t>
        </r>
        <r>
          <rPr>
            <sz val="9"/>
            <color indexed="81"/>
            <rFont val="Tahoma"/>
            <family val="2"/>
          </rPr>
          <t xml:space="preserve">
Enter prodcut name if desired</t>
        </r>
      </text>
    </comment>
    <comment ref="B6" authorId="0" shapeId="0" xr:uid="{9752233F-C7CA-45A5-B664-75D9EC375D0D}">
      <text>
        <r>
          <rPr>
            <b/>
            <sz val="9"/>
            <color indexed="81"/>
            <rFont val="Tahoma"/>
            <family val="2"/>
          </rPr>
          <t>Brian Riise:</t>
        </r>
        <r>
          <rPr>
            <sz val="9"/>
            <color indexed="81"/>
            <rFont val="Tahoma"/>
            <family val="2"/>
          </rPr>
          <t xml:space="preserve">
Enter the current % of units that are remanufactured.</t>
        </r>
      </text>
    </comment>
    <comment ref="B7" authorId="0" shapeId="0" xr:uid="{39359269-E918-40A3-A826-9DA737000DAC}">
      <text>
        <r>
          <rPr>
            <b/>
            <sz val="9"/>
            <color indexed="81"/>
            <rFont val="Tahoma"/>
            <family val="2"/>
          </rPr>
          <t>Brian Riise:</t>
        </r>
        <r>
          <rPr>
            <sz val="9"/>
            <color indexed="81"/>
            <rFont val="Tahoma"/>
            <family val="2"/>
          </rPr>
          <t xml:space="preserve">
The current yield of material in the process.</t>
        </r>
      </text>
    </comment>
    <comment ref="B8" authorId="0" shapeId="0" xr:uid="{9E6173B1-62DF-4C6A-9F73-5B356F1DF2F8}">
      <text>
        <r>
          <rPr>
            <b/>
            <sz val="9"/>
            <color indexed="81"/>
            <rFont val="Tahoma"/>
            <family val="2"/>
          </rPr>
          <t>Brian Riise:</t>
        </r>
        <r>
          <rPr>
            <sz val="9"/>
            <color indexed="81"/>
            <rFont val="Tahoma"/>
            <family val="2"/>
          </rPr>
          <t xml:space="preserve">
Look up vales of the embodied energy of the selected product/unit type in Column C of the "Primary and Reman EE CO2e" tab.  If the product/unit type is not available, please use the "Calculator for product EE CO2e" tab to calculate the material EE and CO2e of the product/unit under consideration (result in cell J13 of the "Calculator for product EE CO2e" tab).</t>
        </r>
      </text>
    </comment>
    <comment ref="B9" authorId="0" shapeId="0" xr:uid="{38E42E43-1D0F-4618-A47F-71C66E014D11}">
      <text>
        <r>
          <rPr>
            <b/>
            <sz val="9"/>
            <color indexed="81"/>
            <rFont val="Tahoma"/>
            <family val="2"/>
          </rPr>
          <t>Brian Riise:</t>
        </r>
        <r>
          <rPr>
            <sz val="9"/>
            <color indexed="81"/>
            <rFont val="Tahoma"/>
            <family val="2"/>
          </rPr>
          <t xml:space="preserve">
Look up vales of the process energy for primary production of the product/unit in column G of the "Primary and Reman EE CO2e" tab.  </t>
        </r>
      </text>
    </comment>
    <comment ref="B10" authorId="0" shapeId="0" xr:uid="{FF2D276D-96AD-4652-A110-779F425186E1}">
      <text>
        <r>
          <rPr>
            <b/>
            <sz val="9"/>
            <color indexed="81"/>
            <rFont val="Tahoma"/>
            <family val="2"/>
          </rPr>
          <t>Brian Riise:</t>
        </r>
        <r>
          <rPr>
            <sz val="9"/>
            <color indexed="81"/>
            <rFont val="Tahoma"/>
            <family val="2"/>
          </rPr>
          <t xml:space="preserve">
Look up vales of the embodied energy in column D of the selected remanufactured product/unit type in the "Primary and Reman EE CO2e" tab.  If the product/unit type is not available, we recommend multiplying the value of "EE of material in new unit" by 10%.</t>
        </r>
      </text>
    </comment>
    <comment ref="B11" authorId="0" shapeId="0" xr:uid="{BEBADEAB-75AA-49AB-8949-080E8D79303E}">
      <text>
        <r>
          <rPr>
            <b/>
            <sz val="9"/>
            <color indexed="81"/>
            <rFont val="Tahoma"/>
            <family val="2"/>
          </rPr>
          <t>Brian Riise:</t>
        </r>
        <r>
          <rPr>
            <sz val="9"/>
            <color indexed="81"/>
            <rFont val="Tahoma"/>
            <family val="2"/>
          </rPr>
          <t xml:space="preserve">
Look up vales of the process energy for remanufacturing process in Column H of the product/unit in the "Primary and Reman EE CO2e" tab.  If data is not available, we recommend multiplying the value for "Process E of new production" by 40%.</t>
        </r>
      </text>
    </comment>
    <comment ref="B12" authorId="0" shapeId="0" xr:uid="{7BCE30A1-B7F7-4021-B2C3-2580AC6743F6}">
      <text>
        <r>
          <rPr>
            <b/>
            <sz val="9"/>
            <color indexed="81"/>
            <rFont val="Tahoma"/>
            <family val="2"/>
          </rPr>
          <t>Brian Riise:</t>
        </r>
        <r>
          <rPr>
            <sz val="9"/>
            <color indexed="81"/>
            <rFont val="Tahoma"/>
            <family val="2"/>
          </rPr>
          <t xml:space="preserve">
Look up vales of the CO2e of the selected product/unit type in column E of the "Primary and Reman EE CO2e" tab.  If the product/unit type is not available, please use the "Calculator for product EE CO2e" tab to calculate the CO2e of the product/unit under consideration (result in cell J14 of the "Calculator for product EE CO2e" tab).</t>
        </r>
      </text>
    </comment>
    <comment ref="B13" authorId="0" shapeId="0" xr:uid="{50255048-9210-40B0-857E-545B4A4EB93B}">
      <text>
        <r>
          <rPr>
            <b/>
            <sz val="9"/>
            <color indexed="81"/>
            <rFont val="Tahoma"/>
            <family val="2"/>
          </rPr>
          <t>Brian Riise:</t>
        </r>
        <r>
          <rPr>
            <sz val="9"/>
            <color indexed="81"/>
            <rFont val="Tahoma"/>
            <family val="2"/>
          </rPr>
          <t xml:space="preserve">
Look up vales of the process CO2e for primary production of the product/unit in column I of the "Primary and Reman EE CO2e" tab.  </t>
        </r>
      </text>
    </comment>
    <comment ref="B14" authorId="0" shapeId="0" xr:uid="{F05B6FD8-0041-40E6-B0F7-85B02F4B5851}">
      <text>
        <r>
          <rPr>
            <b/>
            <sz val="9"/>
            <color indexed="81"/>
            <rFont val="Tahoma"/>
            <family val="2"/>
          </rPr>
          <t>Brian Riise:</t>
        </r>
        <r>
          <rPr>
            <sz val="9"/>
            <color indexed="81"/>
            <rFont val="Tahoma"/>
            <family val="2"/>
          </rPr>
          <t xml:space="preserve">
Look up vales of the embodied energy of the selected remanufactured product/unit type in column F of the "Primary and Reman EE CO2e" tab.  If the product/unit type is not available, we recommend multiplying the value of "CO2e of material in new unit" by 10%.</t>
        </r>
      </text>
    </comment>
    <comment ref="B15" authorId="0" shapeId="0" xr:uid="{0F430AC5-3ABB-4FA8-AFA7-6438710D5593}">
      <text>
        <r>
          <rPr>
            <b/>
            <sz val="9"/>
            <color indexed="81"/>
            <rFont val="Tahoma"/>
            <family val="2"/>
          </rPr>
          <t>Brian Riise:</t>
        </r>
        <r>
          <rPr>
            <sz val="9"/>
            <color indexed="81"/>
            <rFont val="Tahoma"/>
            <family val="2"/>
          </rPr>
          <t xml:space="preserve">
Look up vales of the CO2e for remanufacturing process of the product/unit in column J of the "Primary and Reman EE CO2e" tab.  If data is not available, we recommend multiplying the value for "CO2e of new production" by 40%.</t>
        </r>
      </text>
    </comment>
    <comment ref="B16" authorId="0" shapeId="0" xr:uid="{9DD977BC-0D80-4F7D-B03B-CAFE0D38609F}">
      <text>
        <r>
          <rPr>
            <b/>
            <sz val="9"/>
            <color indexed="81"/>
            <rFont val="Tahoma"/>
            <family val="2"/>
          </rPr>
          <t>Brian Riise:</t>
        </r>
        <r>
          <rPr>
            <sz val="9"/>
            <color indexed="81"/>
            <rFont val="Tahoma"/>
            <family val="2"/>
          </rPr>
          <t xml:space="preserve">
This is the calculated weight average material embodied energy of the selected product of interest. It also divides by the yield determine the material embodidied energy of the product. </t>
        </r>
      </text>
    </comment>
    <comment ref="B17" authorId="0" shapeId="0" xr:uid="{1285F1B1-29F4-4CF3-B65A-0FA3E4C0EF5D}">
      <text>
        <r>
          <rPr>
            <b/>
            <sz val="9"/>
            <color indexed="81"/>
            <rFont val="Tahoma"/>
            <family val="2"/>
          </rPr>
          <t>Brian Riise:</t>
        </r>
        <r>
          <rPr>
            <sz val="9"/>
            <color indexed="81"/>
            <rFont val="Tahoma"/>
            <family val="2"/>
          </rPr>
          <t xml:space="preserve">
This is the calculated weight average material-related CO2 emissions of the product of interest.  It also divides by the yield determine the CO2e of the product. </t>
        </r>
      </text>
    </comment>
    <comment ref="B18" authorId="0" shapeId="0" xr:uid="{B6B9317B-812D-4B3D-8A15-D24CC4567CEC}">
      <text>
        <r>
          <rPr>
            <b/>
            <sz val="9"/>
            <color indexed="81"/>
            <rFont val="Tahoma"/>
            <family val="2"/>
          </rPr>
          <t>Brian Riise:</t>
        </r>
        <r>
          <rPr>
            <sz val="9"/>
            <color indexed="81"/>
            <rFont val="Tahoma"/>
            <family val="2"/>
          </rPr>
          <t xml:space="preserve">
This is the calculated weight average Process energy of the selected product of interest. It also divides by the yield determine the process energy of the product. </t>
        </r>
      </text>
    </comment>
    <comment ref="B19" authorId="0" shapeId="0" xr:uid="{9BE54833-7C57-4451-B0EE-F3A696D366EE}">
      <text>
        <r>
          <rPr>
            <b/>
            <sz val="9"/>
            <color indexed="81"/>
            <rFont val="Tahoma"/>
            <family val="2"/>
          </rPr>
          <t>Brian Riise:</t>
        </r>
        <r>
          <rPr>
            <sz val="9"/>
            <color indexed="81"/>
            <rFont val="Tahoma"/>
            <family val="2"/>
          </rPr>
          <t xml:space="preserve">
This is the calculated weight average material-related CO2 emissions of the product of interest.  It also divides by the yield determine the CO2e of the product. </t>
        </r>
      </text>
    </comment>
    <comment ref="B20" authorId="0" shapeId="0" xr:uid="{C0C51908-6796-4E2C-BEA6-975E0DFC6FE3}">
      <text>
        <r>
          <rPr>
            <b/>
            <sz val="9"/>
            <color indexed="81"/>
            <rFont val="Tahoma"/>
            <family val="2"/>
          </rPr>
          <t>Brian Riise:</t>
        </r>
        <r>
          <rPr>
            <sz val="9"/>
            <color indexed="81"/>
            <rFont val="Tahoma"/>
            <family val="2"/>
          </rPr>
          <t xml:space="preserve">
This the the amount of the material type in the product of interest</t>
        </r>
      </text>
    </comment>
    <comment ref="B27" authorId="0" shapeId="0" xr:uid="{B9AA23EB-D0C6-48A9-A556-3503546212E1}">
      <text>
        <r>
          <rPr>
            <b/>
            <sz val="9"/>
            <color indexed="81"/>
            <rFont val="Tahoma"/>
            <family val="2"/>
          </rPr>
          <t>Brian Riise:</t>
        </r>
        <r>
          <rPr>
            <sz val="9"/>
            <color indexed="81"/>
            <rFont val="Tahoma"/>
            <family val="2"/>
          </rPr>
          <t xml:space="preserve">
Enter material name if desired</t>
        </r>
      </text>
    </comment>
    <comment ref="B28" authorId="0" shapeId="0" xr:uid="{17A70181-3EDA-4CD5-9354-9E63F3FD0859}">
      <text>
        <r>
          <rPr>
            <b/>
            <sz val="9"/>
            <color indexed="81"/>
            <rFont val="Tahoma"/>
            <family val="2"/>
          </rPr>
          <t>Brian Riise:</t>
        </r>
        <r>
          <rPr>
            <sz val="9"/>
            <color indexed="81"/>
            <rFont val="Tahoma"/>
            <family val="2"/>
          </rPr>
          <t xml:space="preserve">
Enter the potential future % of product that is remanufactured.</t>
        </r>
      </text>
    </comment>
    <comment ref="B29" authorId="0" shapeId="0" xr:uid="{29CB42D3-54DB-41A8-B01F-B5EAE480CF51}">
      <text>
        <r>
          <rPr>
            <b/>
            <sz val="9"/>
            <color indexed="81"/>
            <rFont val="Tahoma"/>
            <family val="2"/>
          </rPr>
          <t>Brian Riise:</t>
        </r>
        <r>
          <rPr>
            <sz val="9"/>
            <color indexed="81"/>
            <rFont val="Tahoma"/>
            <family val="2"/>
          </rPr>
          <t xml:space="preserve">
The expected future yield.</t>
        </r>
      </text>
    </comment>
    <comment ref="B50" authorId="0" shapeId="0" xr:uid="{23D0F679-A804-4E3F-B5B6-835F6ED05F50}">
      <text>
        <r>
          <rPr>
            <b/>
            <sz val="9"/>
            <color indexed="81"/>
            <rFont val="Tahoma"/>
            <family val="2"/>
          </rPr>
          <t>Brian Riise:</t>
        </r>
        <r>
          <rPr>
            <sz val="9"/>
            <color indexed="81"/>
            <rFont val="Tahoma"/>
            <family val="2"/>
          </rPr>
          <t xml:space="preserve">
The reduction in embodied energy energy in PetaJoules (1 PJ is equal to 10^15 Joules).  The value highlighted in bright green should be reported in the proposal.</t>
        </r>
      </text>
    </comment>
    <comment ref="B51" authorId="0" shapeId="0" xr:uid="{11342297-70ED-4011-BDA2-6C3114A56D84}">
      <text>
        <r>
          <rPr>
            <b/>
            <sz val="9"/>
            <color indexed="81"/>
            <rFont val="Tahoma"/>
            <family val="2"/>
          </rPr>
          <t>Brian Riise:</t>
        </r>
        <r>
          <rPr>
            <sz val="9"/>
            <color indexed="81"/>
            <rFont val="Tahoma"/>
            <family val="2"/>
          </rPr>
          <t xml:space="preserve">
The reduction in embodied energy energy in trillion Btu (in bright green should be reported in the proposal).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Brian Riise</author>
  </authors>
  <commentList>
    <comment ref="B6" authorId="0" shapeId="0" xr:uid="{9F0A8537-A3B5-4B12-8832-1FBC0571D2EC}">
      <text>
        <r>
          <rPr>
            <b/>
            <sz val="9"/>
            <color indexed="81"/>
            <rFont val="Tahoma"/>
            <family val="2"/>
          </rPr>
          <t>Brian Riise:</t>
        </r>
        <r>
          <rPr>
            <sz val="9"/>
            <color indexed="81"/>
            <rFont val="Tahoma"/>
            <family val="2"/>
          </rPr>
          <t xml:space="preserve">
These calculations give the embodied energy of the materials in the product, when the material composition is known or can be reliably estimated.</t>
        </r>
      </text>
    </comment>
    <comment ref="B10" authorId="0" shapeId="0" xr:uid="{D9D57854-68C5-4273-8DD1-27BDECF730DE}">
      <text>
        <r>
          <rPr>
            <b/>
            <sz val="9"/>
            <color indexed="81"/>
            <rFont val="Tahoma"/>
            <family val="2"/>
          </rPr>
          <t>Brian Riise:</t>
        </r>
        <r>
          <rPr>
            <sz val="9"/>
            <color indexed="81"/>
            <rFont val="Tahoma"/>
            <family val="2"/>
          </rPr>
          <t xml:space="preserve">
List the weight % of each material in the product.</t>
        </r>
      </text>
    </comment>
    <comment ref="B11" authorId="0" shapeId="0" xr:uid="{9FD53BD8-5397-4F16-A300-A4DCBE785652}">
      <text>
        <r>
          <rPr>
            <b/>
            <sz val="9"/>
            <color indexed="81"/>
            <rFont val="Tahoma"/>
            <family val="2"/>
          </rPr>
          <t>Brian Riise:</t>
        </r>
        <r>
          <rPr>
            <sz val="9"/>
            <color indexed="81"/>
            <rFont val="Tahoma"/>
            <family val="2"/>
          </rPr>
          <t xml:space="preserve">
These values are to be selected off of the "EE CO2e of materials" tab.  Care should be taken to enter values for the appropriate primary (virgin) or secondary (recycled) material.  If some materials include primary and secondary, they can be split out as distinct "materials".</t>
        </r>
      </text>
    </comment>
    <comment ref="B12" authorId="0" shapeId="0" xr:uid="{64DEE122-98C3-49F3-A52D-2000785CC046}">
      <text>
        <r>
          <rPr>
            <b/>
            <sz val="9"/>
            <color indexed="81"/>
            <rFont val="Tahoma"/>
            <family val="2"/>
          </rPr>
          <t>Brian Riise:</t>
        </r>
        <r>
          <rPr>
            <sz val="9"/>
            <color indexed="81"/>
            <rFont val="Tahoma"/>
            <family val="2"/>
          </rPr>
          <t xml:space="preserve">
These values are to be selected off of the "EE CO2e of materials" tab.  Care should be taken to enter values for the appropriate primary (virgin) or secondary (recycled) material.  If some materials include primary and secondary, they can be split out as distinct "materials".</t>
        </r>
      </text>
    </comment>
    <comment ref="B13" authorId="0" shapeId="0" xr:uid="{DD1ADED5-C2E1-4929-B612-F56F0C8312A8}">
      <text>
        <r>
          <rPr>
            <b/>
            <sz val="9"/>
            <color indexed="81"/>
            <rFont val="Tahoma"/>
            <family val="2"/>
          </rPr>
          <t>Brian Riise:</t>
        </r>
        <r>
          <rPr>
            <sz val="9"/>
            <color indexed="81"/>
            <rFont val="Tahoma"/>
            <family val="2"/>
          </rPr>
          <t xml:space="preserve">
These are the material EE contributions (per kg of product) to the total product.</t>
        </r>
      </text>
    </comment>
    <comment ref="B14" authorId="0" shapeId="0" xr:uid="{0A4318BB-049E-4CF1-A3D8-AAADBFF85175}">
      <text>
        <r>
          <rPr>
            <b/>
            <sz val="9"/>
            <color indexed="81"/>
            <rFont val="Tahoma"/>
            <family val="2"/>
          </rPr>
          <t>Brian Riise:</t>
        </r>
        <r>
          <rPr>
            <sz val="9"/>
            <color indexed="81"/>
            <rFont val="Tahoma"/>
            <family val="2"/>
          </rPr>
          <t xml:space="preserve">
These are the material CO2e contributions (per kg of product) to the total product.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Brian Riise</author>
    <author>tc={760A4D81-380A-45B8-B805-702D5A21CAFC}</author>
  </authors>
  <commentList>
    <comment ref="B8" authorId="0" shapeId="0" xr:uid="{06D2E648-1805-47AB-B5EB-EB99A1D2F2B5}">
      <text>
        <r>
          <rPr>
            <b/>
            <sz val="9"/>
            <color indexed="81"/>
            <rFont val="Tahoma"/>
            <family val="2"/>
          </rPr>
          <t>Brian Riise:</t>
        </r>
        <r>
          <rPr>
            <sz val="9"/>
            <color indexed="81"/>
            <rFont val="Tahoma"/>
            <family val="2"/>
          </rPr>
          <t xml:space="preserve">
Material EE and CO2e data from Page 74 of UNEP (Table 5)</t>
        </r>
      </text>
    </comment>
    <comment ref="B9" authorId="0" shapeId="0" xr:uid="{0E24421E-632E-4CEE-8AE2-F5B5D78E4E02}">
      <text>
        <r>
          <rPr>
            <b/>
            <sz val="9"/>
            <color indexed="81"/>
            <rFont val="Tahoma"/>
            <family val="2"/>
          </rPr>
          <t>Brian Riise:</t>
        </r>
        <r>
          <rPr>
            <sz val="9"/>
            <color indexed="81"/>
            <rFont val="Tahoma"/>
            <family val="2"/>
          </rPr>
          <t xml:space="preserve">
Material EE and CO2e data from Page 74 of UNEP (Table 6)</t>
        </r>
      </text>
    </comment>
    <comment ref="B10" authorId="0" shapeId="0" xr:uid="{D06E0514-5BC7-42E8-AB52-1C2F21CCD970}">
      <text>
        <r>
          <rPr>
            <b/>
            <sz val="9"/>
            <color indexed="81"/>
            <rFont val="Tahoma"/>
            <family val="2"/>
          </rPr>
          <t>Brian Riise:</t>
        </r>
        <r>
          <rPr>
            <sz val="9"/>
            <color indexed="81"/>
            <rFont val="Tahoma"/>
            <family val="2"/>
          </rPr>
          <t xml:space="preserve">
Material EE and CO2e data from Page 75 of UNEP (Table 7).
Process EE and CO2e from Fig. 78 (pg. 142 of UNEP)</t>
        </r>
      </text>
    </comment>
    <comment ref="B11" authorId="1" shapeId="0" xr:uid="{760A4D81-380A-45B8-B805-702D5A21CAFC}">
      <text>
        <t>[Threaded comment]
Your version of Excel allows you to read this threaded comment; however, any edits to it will get removed if the file is opened in a newer version of Excel. Learn more: https://go.microsoft.com/fwlink/?linkid=870924
Comment:
    Material EE and CO2e data from Page 76 of UNEP (Table 8)</t>
      </text>
    </comment>
    <comment ref="B12" authorId="0" shapeId="0" xr:uid="{34E91909-93A3-4162-ADF9-8FD8FAA4CBB6}">
      <text>
        <r>
          <rPr>
            <b/>
            <sz val="9"/>
            <color indexed="81"/>
            <rFont val="Tahoma"/>
            <family val="2"/>
          </rPr>
          <t>Brian Riise:</t>
        </r>
        <r>
          <rPr>
            <sz val="9"/>
            <color indexed="81"/>
            <rFont val="Tahoma"/>
            <family val="2"/>
          </rPr>
          <t xml:space="preserve">
Material EE and CO2e data from Page 77 of UNEP (Table 10).
Process EE and CO2e from Fig. 79 (pg. 143 of UNEP)</t>
        </r>
      </text>
    </comment>
    <comment ref="B13" authorId="0" shapeId="0" xr:uid="{BF9A2A2F-6148-4AE0-B640-036E87E08A24}">
      <text>
        <r>
          <rPr>
            <b/>
            <sz val="9"/>
            <color indexed="81"/>
            <rFont val="Tahoma"/>
            <family val="2"/>
          </rPr>
          <t>Brian Riise:</t>
        </r>
        <r>
          <rPr>
            <sz val="9"/>
            <color indexed="81"/>
            <rFont val="Tahoma"/>
            <family val="2"/>
          </rPr>
          <t xml:space="preserve">
Material EE and CO2e data from Page 79 of UNEP (Table 12).
Process EE and CO2e from Fig. 80 (pg. 144 of UNEP)</t>
        </r>
      </text>
    </comment>
    <comment ref="B19" authorId="0" shapeId="0" xr:uid="{62874695-2A2A-4FA1-BE9C-C9800D0EE517}">
      <text>
        <r>
          <rPr>
            <b/>
            <sz val="9"/>
            <color indexed="81"/>
            <rFont val="Tahoma"/>
            <family val="2"/>
          </rPr>
          <t>Brian Riise:</t>
        </r>
        <r>
          <rPr>
            <sz val="9"/>
            <color indexed="81"/>
            <rFont val="Tahoma"/>
            <family val="2"/>
          </rPr>
          <t xml:space="preserve">
UNEP table B-3</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Copy of REMADE draft calculator2.xlsx!Table1" type="102" refreshedVersion="6" minRefreshableVersion="5">
    <extLst>
      <ext xmlns:x15="http://schemas.microsoft.com/office/spreadsheetml/2010/11/main" uri="{DE250136-89BD-433C-8126-D09CA5730AF9}">
        <x15:connection id="Table1">
          <x15:rangePr sourceName="_xlcn.WorksheetConnection_CopyofREMADEdraftcalculator2.xlsxTable11"/>
        </x15:connection>
      </ext>
    </extLst>
  </connection>
  <connection id="3" xr16:uid="{00000000-0015-0000-FFFF-FFFF02000000}" name="WorksheetConnection_Copy of REMADE draft calculator2.xlsx!Table2" type="102" refreshedVersion="6" minRefreshableVersion="5">
    <extLst>
      <ext xmlns:x15="http://schemas.microsoft.com/office/spreadsheetml/2010/11/main" uri="{DE250136-89BD-433C-8126-D09CA5730AF9}">
        <x15:connection id="Table2">
          <x15:rangePr sourceName="_xlcn.WorksheetConnection_CopyofREMADEdraftcalculator2.xlsxTable21"/>
        </x15:connection>
      </ext>
    </extLst>
  </connection>
</connections>
</file>

<file path=xl/sharedStrings.xml><?xml version="1.0" encoding="utf-8"?>
<sst xmlns="http://schemas.openxmlformats.org/spreadsheetml/2006/main" count="992" uniqueCount="538">
  <si>
    <r>
      <rPr>
        <b/>
        <i/>
        <sz val="14"/>
        <color rgb="FFFF0000"/>
        <rFont val="Arial"/>
        <family val="2"/>
      </rPr>
      <t xml:space="preserve">DRAFT </t>
    </r>
    <r>
      <rPr>
        <b/>
        <sz val="14"/>
        <rFont val="Arial"/>
        <family val="2"/>
      </rPr>
      <t>Calculator to estimate savings in embodied energy and CO2e emissions for Recycling</t>
    </r>
  </si>
  <si>
    <r>
      <rPr>
        <b/>
        <i/>
        <sz val="10"/>
        <rFont val="Arial"/>
        <family val="2"/>
      </rPr>
      <t xml:space="preserve">Warning:  </t>
    </r>
    <r>
      <rPr>
        <sz val="10"/>
        <rFont val="Arial"/>
        <family val="2"/>
      </rPr>
      <t>This calculator is intended to be an accesible and easy to use tool for "back of the envelope" calculations of savings in embodied energy and CO2e emissions when increasing the use of secondary (recycled) materials.  These estimated savings may be used by the REMADE Institute to estimate its expected overall impact, but more detailed calculations and LCAs should be used to estimate energy and CO2e savings after process details have been developed further as part of REMADE projects.</t>
    </r>
  </si>
  <si>
    <r>
      <rPr>
        <b/>
        <sz val="10"/>
        <rFont val="Arial"/>
        <family val="2"/>
      </rPr>
      <t>General Instructions:</t>
    </r>
    <r>
      <rPr>
        <sz val="10"/>
        <rFont val="Arial"/>
        <family val="2"/>
      </rPr>
      <t xml:space="preserve">  Please read and follow the Instructions below (provided as "Notes" in column B) to enter data into the cells highlighted in bright blue or yellow.  
In this version of the calculator tool, you may opt to use embodied energy and CO2e values for mechanically recycled secondary plastics by 1) using the corresponding values from columns D and F from the "EE CO2e" tab or 2) calculating the energy and CO2e using the appropriate sections of the "Plastics recycling calculator" tab.  For polymers recycled using chemical or solvent-based approaches, you must use the "Plastics recycling calculator" tab.  Values of embodied energy and CO2 savings in cells H35 and H38 below ( highlighted in bright green) should be reported in project proposals.</t>
    </r>
  </si>
  <si>
    <t>Instructions or Explanation (read comment)</t>
  </si>
  <si>
    <t>Current Status</t>
  </si>
  <si>
    <t>Material 1</t>
  </si>
  <si>
    <t>Material 2</t>
  </si>
  <si>
    <t>Material 3</t>
  </si>
  <si>
    <t>Material 4</t>
  </si>
  <si>
    <t>Total</t>
  </si>
  <si>
    <t>Units</t>
  </si>
  <si>
    <t>Material Type</t>
  </si>
  <si>
    <t>steel</t>
  </si>
  <si>
    <t>% Recycle content</t>
  </si>
  <si>
    <t>% yield</t>
  </si>
  <si>
    <t>EE of primary material</t>
  </si>
  <si>
    <t>MJ/kg</t>
  </si>
  <si>
    <t>EE of secondary material</t>
  </si>
  <si>
    <t>CO2e of primary material</t>
  </si>
  <si>
    <r>
      <t>kgCO</t>
    </r>
    <r>
      <rPr>
        <vertAlign val="subscript"/>
        <sz val="10"/>
        <rFont val="Arial"/>
        <family val="2"/>
      </rPr>
      <t>2</t>
    </r>
    <r>
      <rPr>
        <sz val="10"/>
        <rFont val="Arial"/>
        <family val="2"/>
      </rPr>
      <t>/kg</t>
    </r>
  </si>
  <si>
    <t>CO2e of secondary material</t>
  </si>
  <si>
    <t>Embodied Energy per kg of product</t>
  </si>
  <si>
    <t>CO2e emissions per kg of product</t>
  </si>
  <si>
    <r>
      <t>kgCO</t>
    </r>
    <r>
      <rPr>
        <vertAlign val="subscript"/>
        <sz val="10"/>
        <rFont val="Arial"/>
        <family val="2"/>
      </rPr>
      <t>2</t>
    </r>
    <r>
      <rPr>
        <sz val="10"/>
        <rFont val="Arial"/>
        <family val="2"/>
      </rPr>
      <t>/kg of product</t>
    </r>
  </si>
  <si>
    <t>Mass of material in product</t>
  </si>
  <si>
    <t>metric tons</t>
  </si>
  <si>
    <t>Total EE impacted</t>
  </si>
  <si>
    <t>MJ</t>
  </si>
  <si>
    <t>Total CO2 emissions impacted</t>
  </si>
  <si>
    <r>
      <t>metric tons CO</t>
    </r>
    <r>
      <rPr>
        <vertAlign val="subscript"/>
        <sz val="10"/>
        <rFont val="Arial"/>
        <family val="2"/>
      </rPr>
      <t>2</t>
    </r>
  </si>
  <si>
    <t>Potential Future Status</t>
  </si>
  <si>
    <t>CO2 emissions per kg of product</t>
  </si>
  <si>
    <t>kg CO2/kg</t>
  </si>
  <si>
    <t>Total EE of improved products</t>
  </si>
  <si>
    <t>Total CO2 emissions of improved products</t>
  </si>
  <si>
    <t>Impact of Change</t>
  </si>
  <si>
    <t>Reduction in Embodied Energy</t>
  </si>
  <si>
    <t>PJ</t>
  </si>
  <si>
    <t>TBtu</t>
  </si>
  <si>
    <t>Quad</t>
  </si>
  <si>
    <t>Reduction in CO2e emissions</t>
  </si>
  <si>
    <t>Relative decrease in EE</t>
  </si>
  <si>
    <t>Relative decrease in CO2 emissions</t>
  </si>
  <si>
    <t>V4.0, November 11, 2019 (Updated to include instructions and tools to enable the calculation of emboded energy and CO2 equivalent emissions for plastic recycling processes, including chemical recycling.  Added data for embodied energies and process energies.)</t>
  </si>
  <si>
    <t>Disclaimer:  “This report was prepared as an account of work sponsored by an agency of the United States Government.  Neither the United States Government nor any agency thereof, nor any of their employees, makes any warranty, express or implied, or assumes any legal liability or responsibility for the accuracy, completeness, or usefulness of any information, apparatus, product, or process disclosed, or represents that its use would not infringe privately owned rights.  Reference herein to any specific commercial product, process, or service by trade name, trademark, manufacturer, or otherwise does not necessarily constitute or imply its endorsement, recommendation, or favoring by the United States Government or any agency thereof.  The views and opinions of authors expressed herein do not necessarily state or reflect those of the United States Government or any agency thereof.”</t>
  </si>
  <si>
    <t>Suggested Embodied Energy (EE) and CO2 equivalent (CE) Data for Calculator</t>
  </si>
  <si>
    <t>Emb. Energy (MJ/kg)</t>
  </si>
  <si>
    <t>CO2e (kg/kg)</t>
  </si>
  <si>
    <t>Data Source(s)</t>
  </si>
  <si>
    <t>Material</t>
  </si>
  <si>
    <t>Primary (virgin)</t>
  </si>
  <si>
    <t>Secondary (mechanically recycled)</t>
  </si>
  <si>
    <t>Low Carbon steel</t>
  </si>
  <si>
    <t>Ashby (mid-point)</t>
  </si>
  <si>
    <t>Low alloy steel (cranskshafts and tools)</t>
  </si>
  <si>
    <t>Stainless_Steel</t>
  </si>
  <si>
    <t>Aluminum</t>
  </si>
  <si>
    <t>Copper alloys</t>
  </si>
  <si>
    <t>Nickel-Chromium alloy</t>
  </si>
  <si>
    <t>Magnesium alloys</t>
  </si>
  <si>
    <t>Gold</t>
  </si>
  <si>
    <t>Platinum</t>
  </si>
  <si>
    <t>Ashby (mid-point) for primary, Simapro for secondary</t>
  </si>
  <si>
    <t>Silver</t>
  </si>
  <si>
    <t>Titanium alloy</t>
  </si>
  <si>
    <t>Paper_Cardboard</t>
  </si>
  <si>
    <t>Eglass_Fiber</t>
  </si>
  <si>
    <t>Cotton</t>
  </si>
  <si>
    <t>PP</t>
  </si>
  <si>
    <t>PVC</t>
  </si>
  <si>
    <t>PS</t>
  </si>
  <si>
    <t>PET</t>
  </si>
  <si>
    <t>PUR foam</t>
  </si>
  <si>
    <t>Polyamide_Nylon</t>
  </si>
  <si>
    <t>Ethylene Vinyl Acetate (EVA)</t>
  </si>
  <si>
    <t>Nat_Rubber</t>
  </si>
  <si>
    <t>Butyl_Rubber_Synthetics</t>
  </si>
  <si>
    <t>ABS</t>
  </si>
  <si>
    <t>Polycarbonate</t>
  </si>
  <si>
    <t>References:</t>
  </si>
  <si>
    <t>Ashby, MF, Materials and the Environment : Eco-Informed Material Choice, 2nd Edition, 2013.</t>
  </si>
  <si>
    <t>Simapro, https://simapro.com/ .  Data accessed November 2019.</t>
  </si>
  <si>
    <t>Useful Data for Calculating Embodied Energy and CO2 equivalent Emissions for Solvent-based and Chemical Recycling Processes</t>
  </si>
  <si>
    <t>Embodied Energy (EE), CO2 equivalent (CE) and Thermal Data (source:  Perry's Chemical Engineering Handbook) for Solvents</t>
  </si>
  <si>
    <t>Solvent/ Monomer</t>
  </si>
  <si>
    <t>Emb. Energy (MJ/kg) (from Simapro except as noted)</t>
  </si>
  <si>
    <t>CO2e (kg/kg) (from Simapro except as noted)</t>
  </si>
  <si>
    <r>
      <t>ΔH</t>
    </r>
    <r>
      <rPr>
        <b/>
        <vertAlign val="subscript"/>
        <sz val="16"/>
        <color rgb="FF000000"/>
        <rFont val="Calibri"/>
        <family val="2"/>
      </rPr>
      <t>vap</t>
    </r>
    <r>
      <rPr>
        <b/>
        <sz val="16"/>
        <color rgb="FF000000"/>
        <rFont val="Calibri"/>
        <family val="2"/>
      </rPr>
      <t xml:space="preserve"> (kJ/kg)</t>
    </r>
  </si>
  <si>
    <r>
      <t>C</t>
    </r>
    <r>
      <rPr>
        <b/>
        <vertAlign val="subscript"/>
        <sz val="16"/>
        <color rgb="FF000000"/>
        <rFont val="Calibri"/>
        <family val="2"/>
      </rPr>
      <t>p</t>
    </r>
    <r>
      <rPr>
        <b/>
        <sz val="16"/>
        <color rgb="FF000000"/>
        <rFont val="Calibri"/>
        <family val="2"/>
      </rPr>
      <t xml:space="preserve"> (kJ/kg-K)</t>
    </r>
  </si>
  <si>
    <r>
      <t>T</t>
    </r>
    <r>
      <rPr>
        <b/>
        <vertAlign val="subscript"/>
        <sz val="16"/>
        <color rgb="FF000000"/>
        <rFont val="Calibri"/>
        <family val="2"/>
      </rPr>
      <t>boiling</t>
    </r>
    <r>
      <rPr>
        <b/>
        <sz val="16"/>
        <color rgb="FF000000"/>
        <rFont val="Calibri"/>
        <family val="2"/>
      </rPr>
      <t xml:space="preserve"> (˚C)</t>
    </r>
  </si>
  <si>
    <r>
      <t>Energy to go from ambient  (293K) to T</t>
    </r>
    <r>
      <rPr>
        <b/>
        <vertAlign val="subscript"/>
        <sz val="16"/>
        <color rgb="FF000000"/>
        <rFont val="Calibri"/>
        <family val="2"/>
      </rPr>
      <t>boiling</t>
    </r>
    <r>
      <rPr>
        <b/>
        <sz val="16"/>
        <color rgb="FF000000"/>
        <rFont val="Calibri"/>
        <family val="2"/>
      </rPr>
      <t>, q=mC</t>
    </r>
    <r>
      <rPr>
        <b/>
        <vertAlign val="subscript"/>
        <sz val="16"/>
        <color rgb="FF000000"/>
        <rFont val="Calibri"/>
        <family val="2"/>
      </rPr>
      <t>p</t>
    </r>
    <r>
      <rPr>
        <b/>
        <sz val="16"/>
        <color rgb="FF000000"/>
        <rFont val="Calibri"/>
        <family val="2"/>
      </rPr>
      <t>ΔT (kJ/kg)</t>
    </r>
  </si>
  <si>
    <t xml:space="preserve">Ethylene </t>
  </si>
  <si>
    <t>n/a</t>
  </si>
  <si>
    <t xml:space="preserve">Ethylene Glycol </t>
  </si>
  <si>
    <t xml:space="preserve">Propylene </t>
  </si>
  <si>
    <t xml:space="preserve">Acetone </t>
  </si>
  <si>
    <t xml:space="preserve">Toluene </t>
  </si>
  <si>
    <t xml:space="preserve">Xylene </t>
  </si>
  <si>
    <t xml:space="preserve">Methanol </t>
  </si>
  <si>
    <t>Styrene</t>
  </si>
  <si>
    <t>water</t>
  </si>
  <si>
    <t>Ethanol</t>
  </si>
  <si>
    <t>Methyl Ethyl Ketone (MEK)</t>
  </si>
  <si>
    <t>Process Energies of Interest for Mechanical Recycling</t>
  </si>
  <si>
    <t>All values for energy below (except extrusion and solid stating) are electrical energy x 3 to consider national average base energy to electricty conversion.  See https://www.eia.gov/todayinenergy/detail.php?id=41193</t>
  </si>
  <si>
    <t>CO2e is estimated using a typical relation of 20 MJ per kg of CO2e</t>
  </si>
  <si>
    <t>Process</t>
  </si>
  <si>
    <t>Energy (MJ/kg of material)</t>
  </si>
  <si>
    <t>Comments</t>
  </si>
  <si>
    <t>Collection</t>
  </si>
  <si>
    <t>Typically this is a small fraction of energy compared with a total of all the other processes</t>
  </si>
  <si>
    <t>Size Reduction step</t>
  </si>
  <si>
    <t>Estimate based on 50 kW for shredder or granulator with 1 MT/hr feed capacity. (50 kW-hr/MT==&gt;0.18MJ/kg)</t>
  </si>
  <si>
    <t>Each conveying to step</t>
  </si>
  <si>
    <t>Rough estimate for simple conveying such as pneumatic conveyor or conveyors</t>
  </si>
  <si>
    <t>Screening or magnet steps</t>
  </si>
  <si>
    <t>Rough estimate for simple dry sorting steps</t>
  </si>
  <si>
    <t>Air separation cleaning</t>
  </si>
  <si>
    <t>Rough estimate for air separation</t>
  </si>
  <si>
    <t>Wet density separations or cleaning + drying</t>
  </si>
  <si>
    <t>Estimate based on 50 kW for 2 MT/hr  ==&gt;0.09 MJ/kg</t>
  </si>
  <si>
    <t>Optical Sorting step</t>
  </si>
  <si>
    <t>Rough estimate for optical sorting step</t>
  </si>
  <si>
    <t>Extrusion</t>
  </si>
  <si>
    <t>Average energy value for extrusion of materials from Ashby, 2013.</t>
  </si>
  <si>
    <t>Solid-stating/ IV inc. for PET</t>
  </si>
  <si>
    <t>Estimate based on 67%/33% extrusion energy allocation of PlasticsEurope</t>
  </si>
  <si>
    <r>
      <rPr>
        <b/>
        <i/>
        <sz val="12"/>
        <color rgb="FFFF0000"/>
        <rFont val="Arial"/>
        <family val="2"/>
      </rPr>
      <t xml:space="preserve">DRAFT </t>
    </r>
    <r>
      <rPr>
        <b/>
        <sz val="12"/>
        <rFont val="Arial"/>
        <family val="2"/>
      </rPr>
      <t>Plastic Recycling Calculator Worksheet</t>
    </r>
  </si>
  <si>
    <t>Section</t>
  </si>
  <si>
    <t>Line</t>
  </si>
  <si>
    <r>
      <t xml:space="preserve">Question for consideration or </t>
    </r>
    <r>
      <rPr>
        <b/>
        <i/>
        <sz val="10"/>
        <rFont val="Arial"/>
        <family val="2"/>
      </rPr>
      <t>Result</t>
    </r>
  </si>
  <si>
    <t>Entry</t>
  </si>
  <si>
    <t>Result (MJ/kg of product)</t>
  </si>
  <si>
    <t>Notes</t>
  </si>
  <si>
    <t>1:  Collection</t>
  </si>
  <si>
    <t>1-1</t>
  </si>
  <si>
    <t>How many kg of waste material must be collected to ultimately recover 1 kg of the product polymer?  If the product is one of several products recovered from the mixture (including by other means), you can estimate an overall product yield of the mix and calculate this entry based on that yield (i.e. the inverse of the yield).  The number must be greater than 1, and should most likely between 1.2 and 1.5.  After entering the number, proceed to Section 2.</t>
  </si>
  <si>
    <t>1-2</t>
  </si>
  <si>
    <t>Collection energy</t>
  </si>
  <si>
    <t>2:  Sorting and Material Preparation</t>
  </si>
  <si>
    <t>2-1</t>
  </si>
  <si>
    <t xml:space="preserve">Does the collected material need processing such as size reduction, sorting or removal of contamination to prepare it for downstream processes?  If "Yes", enter "1" at right and proceed to Line 2-2.  If "No", enter "0" and proceed to the relevant section below for the next processing step (e.g. Section 3 for solvent-based recycling). </t>
  </si>
  <si>
    <t>2-2</t>
  </si>
  <si>
    <t>How many mechanical conveying steps are involved to prepare the material for chemical processing or extrusion (in the case of mechanical recycling)?  The number should be at least 2 greater than the sum of entries in Lines 2-4, 2-6, 2-8, 2-10 and 2-12.  Enter the number at right, which is the multiplier for number of conveyors.  Proceed to Line 2-4.</t>
  </si>
  <si>
    <t>2-3</t>
  </si>
  <si>
    <t>Energy for material conveying</t>
  </si>
  <si>
    <t>2-4</t>
  </si>
  <si>
    <t>How many size reduction steps?  The number is typically 2 if reducing from large objects to flakes, but can be 1 if feed to the chemical process is larger than about 20 mm.  Proceed to Line 2-6.</t>
  </si>
  <si>
    <t>2-5</t>
  </si>
  <si>
    <t>Energy for Size Reduction</t>
  </si>
  <si>
    <t>2-6</t>
  </si>
  <si>
    <t>How many total steps involve screening, magnets or eddy current separators to prepare the material for chemical recycling?  After entering the number, proceed to Line 2-8.</t>
  </si>
  <si>
    <t>2-7</t>
  </si>
  <si>
    <t>Energy for screening, magnets or eddy current separators</t>
  </si>
  <si>
    <t>2-8</t>
  </si>
  <si>
    <t>How many total steps involve air separations or dry cleaning?  After entering the number, proceed to Line 2-10.</t>
  </si>
  <si>
    <t>2-9</t>
  </si>
  <si>
    <t>Energy for air separations or dry cleaning</t>
  </si>
  <si>
    <t>2-10</t>
  </si>
  <si>
    <t>How many total steps involve wet density separations or cleaning followed by drying?  After entering the number, proceed to Line 2-12.</t>
  </si>
  <si>
    <t>2-11</t>
  </si>
  <si>
    <t>Energy for wet density separations or cleaning followed by drying</t>
  </si>
  <si>
    <t>2-12</t>
  </si>
  <si>
    <t>How many total steps involve optical sorting?  After entering the number, proceed to Line 2-14.</t>
  </si>
  <si>
    <t>2-13</t>
  </si>
  <si>
    <t xml:space="preserve">Energy for optical sorting steps </t>
  </si>
  <si>
    <t>2-14</t>
  </si>
  <si>
    <t xml:space="preserve">Enter energy (MJ per kg of final secondary polymer) for any additional transportation, mechanical recycling or sorting processes not captured thus far in Section 2.  Proceed to the relevant section below for the next processing step (e.g. Section 3 for solvent-based recycling). </t>
  </si>
  <si>
    <t>2-15</t>
  </si>
  <si>
    <t>Energy of other processes</t>
  </si>
  <si>
    <t>2-16</t>
  </si>
  <si>
    <t>Total Energy for Sorting and Material Preparation</t>
  </si>
  <si>
    <t xml:space="preserve">3:  Solvent-based recycling </t>
  </si>
  <si>
    <t>3-1</t>
  </si>
  <si>
    <t>How much solvent is used (on a weight ratio to the final amount of polymer product) to dissolve the polymer?  The ratio should typically be between 5 and 15 to ensure rapid dissolution and to keep energy use reasonable.  Proceed to Line 3-2.</t>
  </si>
  <si>
    <t>3-2</t>
  </si>
  <si>
    <t>Enter the specific heat capacity of the slurry containing polymer and solvent (in units if kJ/kg/K).  You can estimate the slurry specific heat capacity based on the solvent heat capacity.  Several solvents are listed in the "EE CO2 solvents+processes" tab, or you can look up elsewhere or estimate.  Proceed to Line 3-3.</t>
  </si>
  <si>
    <t>3-3</t>
  </si>
  <si>
    <t>Enter the latent heat of vaporization of the solvent (in units if kJ/kg).  Several solvents are listed in the "EE CO2 solvents+processes" tab, or you can look up elsewhere or estimate.  Proceed to Line 3-4.</t>
  </si>
  <si>
    <t>3-4</t>
  </si>
  <si>
    <t>What is the expected dissolution temperature in degrees C?  Proceed to Line 3-5.</t>
  </si>
  <si>
    <t>3-5</t>
  </si>
  <si>
    <t>What fraction of the targeted polymer will be recovered after dissolution and reprecipitation?  Proceed to Line 3-6.</t>
  </si>
  <si>
    <t>3-6</t>
  </si>
  <si>
    <t>If the heating source for boiling off solvents is using natural gas, enter "1" at right.  If heating uses electricity, enter "0.33".  Proceed to Line 3-8.</t>
  </si>
  <si>
    <t>3-7</t>
  </si>
  <si>
    <r>
      <t>Energy input to heat up slurry (from 20</t>
    </r>
    <r>
      <rPr>
        <sz val="10"/>
        <rFont val="Calibri"/>
        <family val="2"/>
      </rPr>
      <t>˚</t>
    </r>
    <r>
      <rPr>
        <i/>
        <sz val="10"/>
        <rFont val="Arial"/>
        <family val="2"/>
      </rPr>
      <t>C) for dissolution</t>
    </r>
  </si>
  <si>
    <t>3-8</t>
  </si>
  <si>
    <t>Enter the energy to convey material, slurry and solution, including filtration of insolubles.  Number should be approximately 1 MJ/kg, but enter alternative if available.  Proceed to Line 3-10.</t>
  </si>
  <si>
    <t>3-9</t>
  </si>
  <si>
    <t>Enter the energy to convey material, slurry and solution, including filtration of insolubles</t>
  </si>
  <si>
    <t>3-10</t>
  </si>
  <si>
    <t>How much anti-solvent (in kg per kg of final product) is used to precitatate the polymer?  Number should be much less than the value entered in Line 3-1, but should be non-zero.  Procees to Line 3-11.</t>
  </si>
  <si>
    <t>3-11</t>
  </si>
  <si>
    <t>Enter the latent heat of vaporization of the anti-solvent (in units if kJ/kg).  Several solvents are listed in the "EE CO2 solvents+processes" tab, or you can look up elsewhere or estimate.  Proceed to Line 3-12.</t>
  </si>
  <si>
    <t>3-12</t>
  </si>
  <si>
    <t>What is the boiling point of the solvent in degrees C?  See "EE CO2e solvents+processes" or a suitable reference.  Proceed to Line 3-13.</t>
  </si>
  <si>
    <t>3-13</t>
  </si>
  <si>
    <t>What is the boiling point of the anti-solvent in degrees C?  See "EE CO2e solvents+processes" or a suitable reference.  Proceed to Line 3-19.</t>
  </si>
  <si>
    <t>3-14</t>
  </si>
  <si>
    <t>This is the lower of the two boiling points of the solvent and anti-solvent?</t>
  </si>
  <si>
    <t>3-15</t>
  </si>
  <si>
    <t xml:space="preserve">Energy to heat liquid mixture up to the lower boining point (per kg of polymer product) </t>
  </si>
  <si>
    <t>3-16</t>
  </si>
  <si>
    <t>Energy to boil off solvent (when it is lower boiling) per kg of polymer end product</t>
  </si>
  <si>
    <t>3-17</t>
  </si>
  <si>
    <t>Energy to boil off anti-solvent (when it is lower boiling) per kg of polymer end product</t>
  </si>
  <si>
    <t>3-18</t>
  </si>
  <si>
    <r>
      <t>Energy to remove liquid from precipitated polymer.  This assumes 1 part liquid per part solid, heating the solid/liquid from 20</t>
    </r>
    <r>
      <rPr>
        <i/>
        <sz val="10"/>
        <rFont val="Calibri"/>
        <family val="2"/>
      </rPr>
      <t>˚</t>
    </r>
    <r>
      <rPr>
        <i/>
        <sz val="10"/>
        <rFont val="Arial"/>
        <family val="2"/>
      </rPr>
      <t>C to the boiling point of the solvent, and vaporizing the solvent.</t>
    </r>
  </si>
  <si>
    <t>3-19</t>
  </si>
  <si>
    <t>How much energy is required (per kg of solvent) to clean up and purify the solvent after separation from the polymer and the anti-solvent?  Proceed to Line 3-20.</t>
  </si>
  <si>
    <t>3-20</t>
  </si>
  <si>
    <t>How much energy is required (per kg of ant-solvent) to clean up and purify the anti-solvent after separation from the polymer and the asolvent?  Proceed to Line 3-22.</t>
  </si>
  <si>
    <t>3-21</t>
  </si>
  <si>
    <t>Energy to treat solvent and anti-solvent (per kg of polymer end product)</t>
  </si>
  <si>
    <t>3-22</t>
  </si>
  <si>
    <t>What % of the solvent is lost in each batch run?  Use 1% as a default unless there are better numbers.  Proceed to Line 3-23.</t>
  </si>
  <si>
    <t>3-23</t>
  </si>
  <si>
    <t>What is the embodied energy of the solvent?  See "EE CO2e solvents+processes" or suitable reference.  Proceed to Line 3-24.</t>
  </si>
  <si>
    <t>3-24</t>
  </si>
  <si>
    <t>How much energy is required to treat the solvent (per kg of solvent that is lost)? Proceed to Line 3-26.</t>
  </si>
  <si>
    <t>3-25</t>
  </si>
  <si>
    <t>Embodied energy consumption due to solvent use</t>
  </si>
  <si>
    <t>3-26</t>
  </si>
  <si>
    <t>What % of the anti-solvent is lost in each batch run?  Use 1% as a default unless there are better numbers.  Proceed to Line 3-27.</t>
  </si>
  <si>
    <t>3-27</t>
  </si>
  <si>
    <t>What is the embodied energy of the anti-solvent?  See "EE CO2e solvents+processes" or suitable reference.  Proceed to Line 3-28.</t>
  </si>
  <si>
    <t>3-28</t>
  </si>
  <si>
    <t>How much energy is required to treat the anti-solvent (per kg of solvent that is lost)? Proceed to Line 3-30</t>
  </si>
  <si>
    <t>3-29</t>
  </si>
  <si>
    <t>3-30</t>
  </si>
  <si>
    <t xml:space="preserve">Enter energy (MJ per kg of final secondary polymer) for any additional processes related to Section 3.  Proceed to Section 8. </t>
  </si>
  <si>
    <t>3-31</t>
  </si>
  <si>
    <t>Energy of other processes in solvent-based recycling</t>
  </si>
  <si>
    <t>3-32</t>
  </si>
  <si>
    <t>Total Energy for Solvent-based Recycling Processes</t>
  </si>
  <si>
    <t>4:  PET Chemical Recycling back to PET</t>
  </si>
  <si>
    <t>4-1</t>
  </si>
  <si>
    <t>Is this process being used?  If "Yes" enter "1" and proceed to Line 4-2.  If "No" enter "0".</t>
  </si>
  <si>
    <t>4-2</t>
  </si>
  <si>
    <t>Enter the energy to depolymerize PET (in MJ/kg of PET product)?  This could include heating and maintaining at desired temperature, for example.  Proceed to Line 4-3.</t>
  </si>
  <si>
    <t>4-3</t>
  </si>
  <si>
    <t>Enter the energy (in MJ/kg of PET product) to convey material, slurry and solution, including filtration of insolubles.  Number should be approximately 1 MJ/kg, but enter alternative if available. Proceed to Line 4-4.</t>
  </si>
  <si>
    <t>4-4</t>
  </si>
  <si>
    <t>Enter the energy (in MJ/kg of PET product) to separate monomers from other process liquids.  This could include processes such as centrifugation, extraction, devolatilization or others, so BRIEFLY describe the process in the "Notes" column.  Proceed to Line 4-5.</t>
  </si>
  <si>
    <t>4-5</t>
  </si>
  <si>
    <t>Enter the energy (in MJ/kg of PET product) to recover solvents, anti-solvents and catalysts.  This could include electrolysis to recover acids and bases, for example, and it can also include processes to remove contaminants such as soluble additives.  Please BRIEFLY describe the process in the "Notes" column.  Proceed to Line 4-6.</t>
  </si>
  <si>
    <t>4-6</t>
  </si>
  <si>
    <t>Enter the energy input (in MJ/kg of PET product) due to embodied energy of make-up solvents, catalysts and other materials.  Expect 1% losses.  Please BRIEFLY mention the materials and make-up rates in the "Notes" column. Proceed to Line 4-7.</t>
  </si>
  <si>
    <t>4-7</t>
  </si>
  <si>
    <t>Enter the energy input (in MJ/kg of PET product) to treat the lost solvents, catalysts and other materials such that they can be discharged or disposed of properly.  Please BRIEFLY discuss in the "Notes" column. Proceed to Line 4-8.</t>
  </si>
  <si>
    <t>4-8</t>
  </si>
  <si>
    <t>Enter the energy input (in MJ/kg of PET product) to convert the depolymerization product to dry terephthalic acid.  Please mention the steps in the "Notes" column.  Proceed to Line 4-9.</t>
  </si>
  <si>
    <t>4-9</t>
  </si>
  <si>
    <t>Enter the energy input (in MJ/kg of PET product) due to embodied energy of any needed co-monomers, including energy to adequately purify ethylene glycol.  Please discuss BRIEFLY in the "Notes" colum.  Proceed to Line 4-10.</t>
  </si>
  <si>
    <t>4-10</t>
  </si>
  <si>
    <t>Enter the energy (in MJ/kg of PET product) to polymerize PET from terephthalic acid and ethylene glycol monomers.  You may enter 4.4 MJ/kg as an estimate at right (estimated based on PlasticsEurope data), or calculate separately using other sources of data.  Proceed to Section 8.</t>
  </si>
  <si>
    <t>4-11</t>
  </si>
  <si>
    <t>Total Energy for Depolymerization and Repolymerization of PET</t>
  </si>
  <si>
    <t>5:  PS Chemical Recycling (pyrolysis or other)</t>
  </si>
  <si>
    <t>5-1</t>
  </si>
  <si>
    <t>Is this process being used?  If "Yes" enter "1" and proceed to Line 5-2.  If "No" enter "0".</t>
  </si>
  <si>
    <t>5-2</t>
  </si>
  <si>
    <t xml:space="preserve">How many kg of of polystyrene are required to produce 1 kg of secondary polystyrene ?  Number should likely be between 1.1 and 1.5.  Proceed to Line 5-3. </t>
  </si>
  <si>
    <t>5-3</t>
  </si>
  <si>
    <t>Enter pyrolysis temperature in degrees C.  Proceed to Line 5-5.</t>
  </si>
  <si>
    <t>5-4</t>
  </si>
  <si>
    <t>Energy to reach pyrolysis temperature (assuming 2 kJ/kg/K)</t>
  </si>
  <si>
    <t>5-5</t>
  </si>
  <si>
    <t>How much pyrolysis product is used as a heat source for the reaction (per kg of secondary polystyrene produced)?  Proceed to Line 5-6.</t>
  </si>
  <si>
    <t>5-6</t>
  </si>
  <si>
    <t>What is the heat of combustion (in MJ/kg) of the fuel from Line 5-5?  You may assume default value of 40 MJ/kg.  Proceed to Line 5-9.</t>
  </si>
  <si>
    <t>5-7</t>
  </si>
  <si>
    <t>Energy to heat the reactor from recovered gas or other fuels from the pyrolysis of PS</t>
  </si>
  <si>
    <t>5-8</t>
  </si>
  <si>
    <t>Additional energy input required (per kg of secondary PS produced)</t>
  </si>
  <si>
    <t>5-9</t>
  </si>
  <si>
    <t>Energy to treat waste materials from the process (e.g. waste water containing halogens)  per kg of polymer produced.  Describe the treatment process BRIEFLY in the "Notes" column.  Proceed to Line 5-10.</t>
  </si>
  <si>
    <t>5-10</t>
  </si>
  <si>
    <t>Energy to separate and purify styrene monomer (per kg of PS product).  Describe the process BRIEFLY in the "Notes" column.  Proceed to Line 5-11.</t>
  </si>
  <si>
    <t>5-11</t>
  </si>
  <si>
    <t>Energy to convert styrene to PS (in MJ/kg of polymer).  Default is approximately 25 MJ/kg.  Proceed to Section 8.</t>
  </si>
  <si>
    <t>5-12</t>
  </si>
  <si>
    <t>Total Energy for Depolymerization and Repolymerization of PS</t>
  </si>
  <si>
    <t>6:  Pyrolysis to produce PE and/or PP</t>
  </si>
  <si>
    <t>6-1</t>
  </si>
  <si>
    <t>Is this process being used?  If "Yes" enter "1".  If "No" enter "0".  Proceed to Line 6-2.</t>
  </si>
  <si>
    <t>6-2</t>
  </si>
  <si>
    <t xml:space="preserve">How many kg of polyolefins are required to produce 1 kg of secondary polyolefins?  Number should likely be greater than 1.2 but less than 1.5. Proceed to Line 6-3. </t>
  </si>
  <si>
    <t>6-3</t>
  </si>
  <si>
    <t>Enter pyrolysis temperature in degrees C.  Proceed to Line 6-5.</t>
  </si>
  <si>
    <t>6-4</t>
  </si>
  <si>
    <t>6-5</t>
  </si>
  <si>
    <t>How much pyrolysis product is used as a heat source for the reaction (per kg of secondary polyolefins produced)?  Proceed to Line 6-6.</t>
  </si>
  <si>
    <t>6-6</t>
  </si>
  <si>
    <t>What is the heat of combustion (in MJ/kg) of the fuel from Line 6-5?  Assume default value of 40 MJ/kg.  Proceed to Line 6-9.</t>
  </si>
  <si>
    <t>6-7</t>
  </si>
  <si>
    <t>Energy to heat the reactor from recovered gas or other fuels from the pyrolysis  of polyolefins</t>
  </si>
  <si>
    <t>6-8</t>
  </si>
  <si>
    <t>Additional energy input required (per kg of secondary polyolefins produced)</t>
  </si>
  <si>
    <t>6-9</t>
  </si>
  <si>
    <t>Energy to treat waste materials from the process (e.g. waste water containing halogens)  per kg of polymer produced.  Proceed to Line 6-10.</t>
  </si>
  <si>
    <t>6-10</t>
  </si>
  <si>
    <t>Energy to convert oil to polymer (in MJ/kg of polymer).  Default is approximately 30 MJ/kg.  Proceed to Section 8.</t>
  </si>
  <si>
    <t>6-11</t>
  </si>
  <si>
    <t>Energy of pyrolysis of polyolefins and repolymerization</t>
  </si>
  <si>
    <t>7:  Other "chemical recycling"</t>
  </si>
  <si>
    <t>7-1</t>
  </si>
  <si>
    <t>Calculated energy to convert waste polymer to new polymer (other process) (Enter in bright blue cell at right and provide separate sheet for calculations)</t>
  </si>
  <si>
    <t>8:  Extrusion and Compounding</t>
  </si>
  <si>
    <t>8-1</t>
  </si>
  <si>
    <t xml:space="preserve">Conveying energy assuming feed and take-away. </t>
  </si>
  <si>
    <t>8-2</t>
  </si>
  <si>
    <t>A 100% yield is assumed for the extrusion step.  Proceed to Line 8-4.</t>
  </si>
  <si>
    <t>8-3</t>
  </si>
  <si>
    <t>Extrusion energy per kg of polymer</t>
  </si>
  <si>
    <t>8-4</t>
  </si>
  <si>
    <t>Is the process with PET so that solid-stating is used to convert to bottle grade PET?  Is "Yes" enter "1" at right.  Proceed to Line 8-6.</t>
  </si>
  <si>
    <t>8-5</t>
  </si>
  <si>
    <t>Energy for PET solid-stating</t>
  </si>
  <si>
    <t>8-6</t>
  </si>
  <si>
    <t xml:space="preserve">Enter energy (MJ per kg of final secondary polymer) for any additional processes related to Section 8.  Examples could include additional compounding stages, post-drying, etc. beyond the normal processes for extrusion compounding.  Proceed to Section 9. </t>
  </si>
  <si>
    <t>8-7</t>
  </si>
  <si>
    <t>Additional Energy</t>
  </si>
  <si>
    <t>8-8</t>
  </si>
  <si>
    <t>Total Energy for Extrusion and Compounding to produce pellets</t>
  </si>
  <si>
    <t>9:  Results Summary</t>
  </si>
  <si>
    <t>9-1</t>
  </si>
  <si>
    <t>Collection energy (from Line 1-3)</t>
  </si>
  <si>
    <t>9-2</t>
  </si>
  <si>
    <t>Total Energy for Sorting and Material Preparation (from Line 2-17)</t>
  </si>
  <si>
    <t>9-3</t>
  </si>
  <si>
    <t>Total Energy for Solvent-based Recycling Processes (from Line 3-23)</t>
  </si>
  <si>
    <t>9-4</t>
  </si>
  <si>
    <t>Total Energy for Depolymerization and Repolymerization of PET (from Line 4-9)</t>
  </si>
  <si>
    <t>9-5</t>
  </si>
  <si>
    <t>Total Energy for Depolymerization and Repolymerization of PS (from Line 5-7)</t>
  </si>
  <si>
    <t>9-6</t>
  </si>
  <si>
    <t>Energy of pyrolysis of polyolefins and repolymerization (from Line 6-6)</t>
  </si>
  <si>
    <t>9-7</t>
  </si>
  <si>
    <t>Calculated energy to convert waste polymer to new polymer (other chemical recycling process) (from Line 7-1)</t>
  </si>
  <si>
    <t>9-8</t>
  </si>
  <si>
    <t>Total Energy for Extrusion and Compounding to produce pellets (from Line 8-8)</t>
  </si>
  <si>
    <t>9-9</t>
  </si>
  <si>
    <t>Total Process Energy to Produce Pellets from Waste Stream</t>
  </si>
  <si>
    <t>Use this in the "Calculator" tab.</t>
  </si>
  <si>
    <t>9-10</t>
  </si>
  <si>
    <t>Calculated CO2e (divide Energy by 20 for an estimate)</t>
  </si>
  <si>
    <t xml:space="preserve">Does the collected material need processing such as size reduction, sorting, removal of contamination to prepare it for downstream processes?  If "Yes", enter "1" at right and proceed to Line 2-2.  If "No", enter "0" and proceed to the relevant section below for the next processing step (e.g. Section 3 for solvent-based recycling). </t>
  </si>
  <si>
    <t>Using Xylene as the solvent</t>
  </si>
  <si>
    <t>Value for Xylene</t>
  </si>
  <si>
    <r>
      <t>Assume the process is at 120</t>
    </r>
    <r>
      <rPr>
        <sz val="10"/>
        <rFont val="Calibri"/>
        <family val="2"/>
      </rPr>
      <t>˚</t>
    </r>
    <r>
      <rPr>
        <sz val="10"/>
        <rFont val="Arial"/>
        <family val="2"/>
      </rPr>
      <t>C</t>
    </r>
  </si>
  <si>
    <t>Here we assume full dissolution and recovery.</t>
  </si>
  <si>
    <t>If the heating source for boiling off solvents is using natural gas, enter "1" at right.  If heating uses electricity, enter "0.3".  Proceed to Line 3-8.</t>
  </si>
  <si>
    <t>Assume we add 1 part of ethylene glycol to precipitate the HDPE polymer</t>
  </si>
  <si>
    <t>Value for Ethylene Glycol</t>
  </si>
  <si>
    <t>Estimate for Xylene from the "EE CO2e solvents+processes" tab.</t>
  </si>
  <si>
    <t>Estimate for EG from the "EE CO2e solvents+processes" tab.</t>
  </si>
  <si>
    <t>Calculator (Beta Version) to estimate embodied energy (EE) and CO2e emissions for remanufacturing processes</t>
  </si>
  <si>
    <t>Unit type</t>
  </si>
  <si>
    <t>cylinder head</t>
  </si>
  <si>
    <t>% remanufactured</t>
  </si>
  <si>
    <t>EE of material in new unit</t>
  </si>
  <si>
    <t>Proces E of new production</t>
  </si>
  <si>
    <t>EE of materials in reman unit</t>
  </si>
  <si>
    <t>Process E of reman process</t>
  </si>
  <si>
    <t>CO2e of material in new unit</t>
  </si>
  <si>
    <r>
      <t>kgCO</t>
    </r>
    <r>
      <rPr>
        <vertAlign val="subscript"/>
        <sz val="10"/>
        <rFont val="Arial"/>
        <family val="2"/>
      </rPr>
      <t>2</t>
    </r>
    <r>
      <rPr>
        <sz val="10"/>
        <rFont val="Arial"/>
        <family val="2"/>
      </rPr>
      <t>e/kg</t>
    </r>
  </si>
  <si>
    <t>CO2e of new production</t>
  </si>
  <si>
    <t>CO2e of material in reman unit</t>
  </si>
  <si>
    <t>CO2e of reman process</t>
  </si>
  <si>
    <t>Material EE per kg of product</t>
  </si>
  <si>
    <t>MJ/kg of product</t>
  </si>
  <si>
    <t>Material CO2e per kg of product</t>
  </si>
  <si>
    <t>Process EE per kg of product</t>
  </si>
  <si>
    <t>Process CO2e per kg of product</t>
  </si>
  <si>
    <t>kg</t>
  </si>
  <si>
    <t>Total Number of units produced</t>
  </si>
  <si>
    <t>Total mass of all units</t>
  </si>
  <si>
    <t>Total EE</t>
  </si>
  <si>
    <t>Total CO2 emissions</t>
  </si>
  <si>
    <r>
      <t>kg CO</t>
    </r>
    <r>
      <rPr>
        <vertAlign val="subscript"/>
        <sz val="10"/>
        <rFont val="Arial"/>
        <family val="2"/>
      </rPr>
      <t>2</t>
    </r>
    <r>
      <rPr>
        <sz val="10"/>
        <rFont val="Arial"/>
        <family val="2"/>
      </rPr>
      <t>e</t>
    </r>
  </si>
  <si>
    <t>Calculator (Beta Version) to estimate embodied emissions and CO2e emissions of remanufacturing processes</t>
  </si>
  <si>
    <t>Calculation of Embodied Energy of the Manufactured Product</t>
  </si>
  <si>
    <t>Embodied Energy and CO2e of Materials in the Product (per kg of product)</t>
  </si>
  <si>
    <t>Material 5</t>
  </si>
  <si>
    <t>Material 6</t>
  </si>
  <si>
    <t>stainless steel</t>
  </si>
  <si>
    <t>copper</t>
  </si>
  <si>
    <t>aluminum</t>
  </si>
  <si>
    <t>brass</t>
  </si>
  <si>
    <t>PCB</t>
  </si>
  <si>
    <t>wt % material in product</t>
  </si>
  <si>
    <t>EE of material</t>
  </si>
  <si>
    <t>CO2e of material</t>
  </si>
  <si>
    <t>EE per kg of product</t>
  </si>
  <si>
    <t>MJ/kg product</t>
  </si>
  <si>
    <t>CO2e per kg of product</t>
  </si>
  <si>
    <r>
      <t>kgCO</t>
    </r>
    <r>
      <rPr>
        <vertAlign val="subscript"/>
        <sz val="10"/>
        <rFont val="Arial"/>
        <family val="2"/>
      </rPr>
      <t>2</t>
    </r>
    <r>
      <rPr>
        <sz val="10"/>
        <rFont val="Arial"/>
        <family val="2"/>
      </rPr>
      <t>/kg product</t>
    </r>
  </si>
  <si>
    <t>Suggested Embodied Energy (EE) and CO2 equivalent (CE) Data for Primary and Reman Materials</t>
  </si>
  <si>
    <t>Cell in the "Calculator for reman EE CO2e" tab</t>
  </si>
  <si>
    <t>D8</t>
  </si>
  <si>
    <t>D10</t>
  </si>
  <si>
    <t>D12</t>
  </si>
  <si>
    <t>D14</t>
  </si>
  <si>
    <t>D9</t>
  </si>
  <si>
    <t>D11</t>
  </si>
  <si>
    <t>D13</t>
  </si>
  <si>
    <t>D15</t>
  </si>
  <si>
    <t>Material Contributions to EE and CO2e</t>
  </si>
  <si>
    <t>Process Contributions to EE and CO2e</t>
  </si>
  <si>
    <t>Embodied Energy (MJ/kg)</t>
  </si>
  <si>
    <t>Process Energy (MJ/kg)</t>
  </si>
  <si>
    <t>Process CO2e (kg/kg)</t>
  </si>
  <si>
    <t>Product</t>
  </si>
  <si>
    <t>Primary Production</t>
  </si>
  <si>
    <t>Remanufacturing</t>
  </si>
  <si>
    <t>production printer</t>
  </si>
  <si>
    <t>industrial digital printing press #1</t>
  </si>
  <si>
    <t>industrial digital printing press #2</t>
  </si>
  <si>
    <t>US vehicle alternator</t>
  </si>
  <si>
    <t>US traditional vehicle engine</t>
  </si>
  <si>
    <t>US HDOR engine</t>
  </si>
  <si>
    <t>CPU</t>
  </si>
  <si>
    <t>LCD</t>
  </si>
  <si>
    <t>notebook</t>
  </si>
  <si>
    <t>desktop computer (avg)</t>
  </si>
  <si>
    <t>mobile phone</t>
  </si>
  <si>
    <t>printed circuit board</t>
  </si>
  <si>
    <t>embodied energy including materials and process</t>
  </si>
  <si>
    <r>
      <t>1.  IRP (2018).</t>
    </r>
    <r>
      <rPr>
        <i/>
        <sz val="11"/>
        <color theme="1"/>
        <rFont val="Calibri"/>
        <family val="2"/>
        <scheme val="minor"/>
      </rPr>
      <t xml:space="preserve"> Re-defining Value – The Manufacturing Revolution. Remanufacturing, Refurbishment, Repair and Direct Reuse in the Circular Economy.</t>
    </r>
    <r>
      <rPr>
        <sz val="10"/>
        <rFont val="Arial"/>
      </rPr>
      <t xml:space="preserve">  Nabil Nasr, Jennifer Russell, Stefan Bringezu, Stefanie Hellweg, Brian Hilton, Cory Kreiss, and Nadia von Gries. A Report of the International Resource Panel. United Nations Environment Programme, Nairobi, Kenya.</t>
    </r>
  </si>
  <si>
    <t>Iron_Steel</t>
  </si>
  <si>
    <t>Nickel</t>
  </si>
  <si>
    <t>LDPE</t>
  </si>
  <si>
    <t>HDPE</t>
  </si>
  <si>
    <t>PE</t>
  </si>
  <si>
    <t>PES (polysulfone)</t>
  </si>
  <si>
    <t>PUR (polyurethane)</t>
  </si>
  <si>
    <t>Phenolics</t>
  </si>
  <si>
    <t>CRT</t>
  </si>
  <si>
    <t>computer_average</t>
  </si>
  <si>
    <t>mobile_phone</t>
  </si>
  <si>
    <t>CRT_glass</t>
  </si>
  <si>
    <t>E_waste_copper</t>
  </si>
  <si>
    <t>E_waste_lead</t>
  </si>
  <si>
    <t>Printed circuit board</t>
  </si>
  <si>
    <t>Cast Iron</t>
  </si>
  <si>
    <t>Zinc alloys</t>
  </si>
  <si>
    <t>Lead alloys</t>
  </si>
  <si>
    <t>Nickel-based superalloys</t>
  </si>
  <si>
    <t>4,3</t>
  </si>
  <si>
    <t>Polyactide (PLA)</t>
  </si>
  <si>
    <t>Polyester</t>
  </si>
  <si>
    <t>Palladium</t>
  </si>
  <si>
    <t>Rhodium</t>
  </si>
  <si>
    <t>Iridium</t>
  </si>
  <si>
    <t>Desktop computer, without screen</t>
  </si>
  <si>
    <t>Systems (unit as specified)</t>
  </si>
  <si>
    <t>Laptop Computer</t>
  </si>
  <si>
    <t>Small electronic devices (per kg)</t>
  </si>
  <si>
    <r>
      <t>LCD displays (per m</t>
    </r>
    <r>
      <rPr>
        <vertAlign val="superscript"/>
        <sz val="12"/>
        <color theme="1"/>
        <rFont val="Arial"/>
        <family val="2"/>
      </rPr>
      <t>2</t>
    </r>
    <r>
      <rPr>
        <sz val="12"/>
        <color theme="1"/>
        <rFont val="Arial"/>
        <family val="2"/>
      </rPr>
      <t>)</t>
    </r>
  </si>
  <si>
    <t>Laser jet printer</t>
  </si>
  <si>
    <t>Subsytems, per unit</t>
  </si>
  <si>
    <t>Printed wiring board, laptop PC motherboard</t>
  </si>
  <si>
    <t>Printed wiring board, desktop PC motherboard</t>
  </si>
  <si>
    <t>hard disk drive</t>
  </si>
  <si>
    <t>CD-ROM/DVD-ROM drive</t>
  </si>
  <si>
    <t>Power supply</t>
  </si>
  <si>
    <t>Fan</t>
  </si>
  <si>
    <t>Keyboard (per unit)</t>
  </si>
  <si>
    <t>Mouse devices, optical with cable, per unit</t>
  </si>
  <si>
    <t>Toner module, laser jet</t>
  </si>
  <si>
    <t>EEBC Version 2.0</t>
  </si>
  <si>
    <t>Ashby</t>
  </si>
  <si>
    <t>Casting Processes</t>
  </si>
  <si>
    <t>Deformation Processing</t>
  </si>
  <si>
    <t>Emb. Energy 
(MJ/kg)</t>
  </si>
  <si>
    <t>Emissions
CO2e (kg/kg)</t>
  </si>
  <si>
    <t>Zinc (die cast) alloys</t>
  </si>
  <si>
    <t>Ashby (mid-point), Forging (rolling)</t>
  </si>
  <si>
    <t/>
  </si>
  <si>
    <t>Polymer Molding</t>
  </si>
  <si>
    <t>Polymer Extrusion</t>
  </si>
  <si>
    <t>Ashby (mid-point), Construction process</t>
  </si>
  <si>
    <t>Ashby (mid-point), fabric production</t>
  </si>
  <si>
    <t>Ashby (mid-point), fabric production and prepreg production</t>
  </si>
  <si>
    <t>Manufacturing Processes</t>
  </si>
  <si>
    <t>Brass, fittings</t>
  </si>
  <si>
    <t>Lead: piping, cladding</t>
  </si>
  <si>
    <t>PVC: piping</t>
  </si>
  <si>
    <t>Steel, galvanized</t>
  </si>
  <si>
    <t>Zinc, cladding</t>
  </si>
  <si>
    <t>Copper: Piping, cladding</t>
  </si>
  <si>
    <t>Services</t>
  </si>
  <si>
    <t>Processing Energy/Emissions</t>
  </si>
  <si>
    <t>Metals</t>
  </si>
  <si>
    <t>Casting</t>
  </si>
  <si>
    <t>Rough rolling, forging</t>
  </si>
  <si>
    <t>Extrusion, foil rolling</t>
  </si>
  <si>
    <t>Wire drawing</t>
  </si>
  <si>
    <t>Metal Powder forming</t>
  </si>
  <si>
    <t>Vapor Phase Methods</t>
  </si>
  <si>
    <t>Polymers</t>
  </si>
  <si>
    <t>Molding</t>
  </si>
  <si>
    <t>Machining</t>
  </si>
  <si>
    <t>Heavy</t>
  </si>
  <si>
    <t>Finishing (light)</t>
  </si>
  <si>
    <t>Grinding</t>
  </si>
  <si>
    <t>Water jet, EDM, laser</t>
  </si>
  <si>
    <t>Joining</t>
  </si>
  <si>
    <t>Welding - gas welding</t>
  </si>
  <si>
    <t>Welding - electric welding</t>
  </si>
  <si>
    <t>Fasteners</t>
  </si>
  <si>
    <t>Fasteners, small</t>
  </si>
  <si>
    <t>Fasteners, large</t>
  </si>
  <si>
    <t>Adhesives</t>
  </si>
  <si>
    <t>Adhesives, Cold</t>
  </si>
  <si>
    <t>Adhesives, Heat-curing</t>
  </si>
  <si>
    <t>Finishing</t>
  </si>
  <si>
    <t>Painting</t>
  </si>
  <si>
    <t>Painting, baked coatings</t>
  </si>
  <si>
    <t>Painting, powder coatings</t>
  </si>
  <si>
    <t>Plating, electroplating</t>
  </si>
  <si>
    <t>Other Processing/Emissions</t>
  </si>
  <si>
    <t>* Check units for these values in the Notes</t>
  </si>
  <si>
    <t>Emb. Energy 
(MJ/kg)*</t>
  </si>
  <si>
    <t>Emissions
CO2e (kg/unit)*</t>
  </si>
  <si>
    <t>Emissions
CO2e (kg/kg)*</t>
  </si>
  <si>
    <t>Ashby (mid-point), MJ/kg removed, kg/kg removed</t>
  </si>
  <si>
    <t>Ashby (mid-point), MJ/m, kg/m</t>
  </si>
  <si>
    <t>Ashby (mid-point), MJ/fastener, kg/fastener</t>
  </si>
  <si>
    <r>
      <t>Ashby (mid-point), MJ/m</t>
    </r>
    <r>
      <rPr>
        <vertAlign val="superscript"/>
        <sz val="12"/>
        <rFont val="Calibri"/>
        <family val="2"/>
        <scheme val="minor"/>
      </rPr>
      <t>2</t>
    </r>
    <r>
      <rPr>
        <sz val="12"/>
        <rFont val="Calibri"/>
        <family val="2"/>
        <scheme val="minor"/>
      </rPr>
      <t>, kg/m</t>
    </r>
    <r>
      <rPr>
        <vertAlign val="superscript"/>
        <sz val="12"/>
        <rFont val="Calibri"/>
        <family val="2"/>
        <scheme val="minor"/>
      </rPr>
      <t>2</t>
    </r>
  </si>
  <si>
    <t xml:space="preserve">© 2020 Sustainable Manufacturing Innovation Alliance. Funding provided by the U.S. Department of Energy’s Office of Energy Efficiency and Renewable Energy (EERE) under Advanced Manufacturing Office Award Number DE-EE0007897. </t>
  </si>
  <si>
    <t>V5.0, April 2020, Added REMAN Beta Calculator to EE CO2 page, Added processing energies (casting and deformation processing for metals, extrusion and molding for polymers) to the EE CO2 page for metals and polymers (including specific data on printed wiring boards and other electronics), Created separate tab for other processes such as Machining, joining, fastening, and adhesives, finishing, and services.</t>
  </si>
  <si>
    <t>Acknowledgment: This material is based upon work supported by the U.S. Department of Energy’s Office of Energy Efficiency and Renewable Energy (EERE) under the Advanced Manufacturing Office Award Number DE-EE0007897.</t>
  </si>
  <si>
    <t>V3.0 Original Version Issued October 31, 2018.</t>
  </si>
  <si>
    <t xml:space="preserve">V6.0, October  2020, Fixed Material calculations on the REMAN Beta Calculator </t>
  </si>
  <si>
    <r>
      <rPr>
        <b/>
        <sz val="10"/>
        <rFont val="Arial"/>
        <family val="2"/>
      </rPr>
      <t xml:space="preserve">Instructions: </t>
    </r>
    <r>
      <rPr>
        <sz val="10"/>
        <rFont val="Arial"/>
        <family val="2"/>
      </rPr>
      <t xml:space="preserve"> Please feel free to use the worksheet below to estimate the energy requirements for various processes including both "mechanical recycling" and the broad category of "chemical recycling" (including processes involving solvents, depolymerization to monomers, or pyrolysis).  As you go through the form, please read each step carefully and enter data to the best of your knowledge in cells highlighted in bright blue.  We realize that some information about your proposed process may be missing at this early stage, but please use your best realistic estimates for each step.  The results highlighted in bright green cells in Line 9-9 and 9-10 may be used as inputs for secondary polymers in Rows 10,12, 24 and 26 of the "Calculator" tab.  Please use the "Notes" column (column G) after each entry to provide a BRIEF explanation to help us better understand the logic and uncertainties of the calculation.  We may ask for this completed sheet and the completed "Calculator" worksheet during the review process or after your project is selected for award.  If you have any questions about the calculations, please reach out to to the REMADE Institute  at contact@remadeinstitute.org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</si>
</sst>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0.0"/>
    <numFmt numFmtId="165" formatCode="0.0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9"/>
      <color indexed="81"/>
      <name val="Tahoma"/>
      <family val="2"/>
    </font>
    <font>
      <b/>
      <sz val="9"/>
      <color indexed="81"/>
      <name val="Tahoma"/>
      <family val="2"/>
    </font>
    <font>
      <sz val="10"/>
      <color theme="1"/>
      <name val="Arial"/>
      <family val="2"/>
    </font>
    <font>
      <sz val="10"/>
      <color rgb="FF000000"/>
      <name val="Arial"/>
      <family val="2"/>
    </font>
    <font>
      <b/>
      <i/>
      <sz val="10"/>
      <name val="Arial"/>
      <family val="2"/>
    </font>
    <font>
      <sz val="8"/>
      <color rgb="FFFF0000"/>
      <name val="Arial"/>
      <family val="2"/>
    </font>
    <font>
      <sz val="10"/>
      <name val="Arial"/>
      <family val="2"/>
    </font>
    <font>
      <b/>
      <sz val="9"/>
      <name val="Arial"/>
      <family val="2"/>
    </font>
    <font>
      <vertAlign val="subscript"/>
      <sz val="10"/>
      <name val="Arial"/>
      <family val="2"/>
    </font>
    <font>
      <sz val="12"/>
      <name val="Calibri"/>
      <family val="2"/>
      <scheme val="minor"/>
    </font>
    <font>
      <b/>
      <sz val="12"/>
      <name val="Calibri"/>
      <family val="2"/>
      <scheme val="minor"/>
    </font>
    <font>
      <sz val="12"/>
      <color rgb="FF000000"/>
      <name val="Calibri"/>
      <family val="2"/>
      <scheme val="minor"/>
    </font>
    <font>
      <b/>
      <sz val="14"/>
      <name val="Arial"/>
      <family val="2"/>
    </font>
    <font>
      <sz val="12"/>
      <name val="Arial"/>
      <family val="2"/>
    </font>
    <font>
      <b/>
      <sz val="12"/>
      <name val="Arial"/>
      <family val="2"/>
    </font>
    <font>
      <sz val="12"/>
      <color rgb="FF000000"/>
      <name val="Arial"/>
      <family val="2"/>
    </font>
    <font>
      <b/>
      <sz val="13"/>
      <name val="Arial"/>
      <family val="2"/>
    </font>
    <font>
      <b/>
      <i/>
      <sz val="12"/>
      <name val="Arial"/>
      <family val="2"/>
    </font>
    <font>
      <b/>
      <sz val="8"/>
      <name val="Arial"/>
      <family val="2"/>
    </font>
    <font>
      <b/>
      <sz val="16"/>
      <name val="Arial"/>
      <family val="2"/>
    </font>
    <font>
      <b/>
      <sz val="16"/>
      <color rgb="FF000000"/>
      <name val="Calibri"/>
      <family val="2"/>
    </font>
    <font>
      <b/>
      <vertAlign val="subscript"/>
      <sz val="16"/>
      <color rgb="FF000000"/>
      <name val="Calibri"/>
      <family val="2"/>
    </font>
    <font>
      <sz val="12"/>
      <color theme="1"/>
      <name val="Arial"/>
      <family val="2"/>
    </font>
    <font>
      <b/>
      <sz val="12"/>
      <color rgb="FF000000"/>
      <name val="Arial"/>
      <family val="2"/>
    </font>
    <font>
      <b/>
      <sz val="14"/>
      <color rgb="FF000000"/>
      <name val="Arial"/>
      <family val="2"/>
    </font>
    <font>
      <sz val="9"/>
      <color indexed="81"/>
      <name val="Tahoma"/>
      <charset val="1"/>
    </font>
    <font>
      <b/>
      <sz val="9"/>
      <color indexed="81"/>
      <name val="Tahoma"/>
      <charset val="1"/>
    </font>
    <font>
      <i/>
      <sz val="10"/>
      <name val="Arial"/>
      <family val="2"/>
    </font>
    <font>
      <sz val="10"/>
      <name val="Calibri"/>
      <family val="2"/>
    </font>
    <font>
      <i/>
      <sz val="10"/>
      <name val="Calibri"/>
      <family val="2"/>
    </font>
    <font>
      <b/>
      <i/>
      <sz val="14"/>
      <color rgb="FFFF0000"/>
      <name val="Arial"/>
      <family val="2"/>
    </font>
    <font>
      <b/>
      <i/>
      <sz val="12"/>
      <color rgb="FFFF0000"/>
      <name val="Arial"/>
      <family val="2"/>
    </font>
    <font>
      <sz val="11"/>
      <color rgb="FF000000"/>
      <name val="Arial"/>
      <family val="2"/>
    </font>
    <font>
      <sz val="10"/>
      <color rgb="FFFF0000"/>
      <name val="Arial"/>
      <family val="2"/>
    </font>
    <font>
      <sz val="11"/>
      <color theme="1"/>
      <name val="Arial"/>
      <family val="2"/>
    </font>
    <font>
      <b/>
      <sz val="11"/>
      <color rgb="FF0070C0"/>
      <name val="Arial"/>
      <family val="2"/>
    </font>
    <font>
      <sz val="11"/>
      <color rgb="FF0070C0"/>
      <name val="Arial"/>
      <family val="2"/>
    </font>
    <font>
      <b/>
      <i/>
      <sz val="10"/>
      <color theme="1"/>
      <name val="Arial"/>
      <family val="2"/>
    </font>
    <font>
      <b/>
      <sz val="11"/>
      <color theme="1"/>
      <name val="Arial"/>
      <family val="2"/>
    </font>
    <font>
      <b/>
      <sz val="10"/>
      <color theme="1"/>
      <name val="Arial"/>
      <family val="2"/>
    </font>
    <font>
      <i/>
      <sz val="9"/>
      <name val="Arial"/>
      <family val="2"/>
    </font>
    <font>
      <i/>
      <sz val="11"/>
      <color theme="1"/>
      <name val="Calibri"/>
      <family val="2"/>
      <scheme val="minor"/>
    </font>
    <font>
      <b/>
      <sz val="12"/>
      <color theme="1"/>
      <name val="Arial"/>
      <family val="2"/>
    </font>
    <font>
      <vertAlign val="superscript"/>
      <sz val="12"/>
      <color theme="1"/>
      <name val="Arial"/>
      <family val="2"/>
    </font>
    <font>
      <vertAlign val="superscript"/>
      <sz val="12"/>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00FFFF"/>
        <bgColor indexed="64"/>
      </patternFill>
    </fill>
    <fill>
      <patternFill patternType="solid">
        <fgColor rgb="FF00FF00"/>
        <bgColor indexed="64"/>
      </patternFill>
    </fill>
    <fill>
      <patternFill patternType="solid">
        <fgColor theme="0" tint="-0.499984740745262"/>
        <bgColor indexed="64"/>
      </patternFill>
    </fill>
    <fill>
      <patternFill patternType="solid">
        <fgColor rgb="FFE9EBF5"/>
        <bgColor indexed="64"/>
      </patternFill>
    </fill>
    <fill>
      <patternFill patternType="solid">
        <fgColor theme="0"/>
        <bgColor indexed="64"/>
      </patternFill>
    </fill>
    <fill>
      <patternFill patternType="solid">
        <fgColor rgb="FF66FF33"/>
        <bgColor indexed="64"/>
      </patternFill>
    </fill>
    <fill>
      <patternFill patternType="solid">
        <fgColor rgb="FFFFFF00"/>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15">
    <xf numFmtId="0" fontId="0" fillId="0" borderId="0"/>
    <xf numFmtId="0" fontId="4" fillId="0" borderId="0"/>
    <xf numFmtId="9" fontId="4"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0" fontId="3" fillId="0" borderId="0"/>
    <xf numFmtId="9" fontId="3"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355">
    <xf numFmtId="0" fontId="0" fillId="0" borderId="0" xfId="0"/>
    <xf numFmtId="0" fontId="7" fillId="0" borderId="0" xfId="0" applyFont="1"/>
    <xf numFmtId="0" fontId="7" fillId="0" borderId="0" xfId="0" applyFont="1" applyAlignment="1">
      <alignment vertical="center"/>
    </xf>
    <xf numFmtId="0" fontId="11" fillId="0" borderId="0" xfId="0" applyFont="1" applyFill="1" applyBorder="1" applyAlignment="1">
      <alignment vertical="center"/>
    </xf>
    <xf numFmtId="0" fontId="11" fillId="0" borderId="0" xfId="1" applyFont="1" applyFill="1" applyBorder="1" applyAlignment="1">
      <alignment vertical="center"/>
    </xf>
    <xf numFmtId="0" fontId="7" fillId="0" borderId="0" xfId="0" applyFont="1" applyFill="1" applyAlignment="1">
      <alignment vertical="center"/>
    </xf>
    <xf numFmtId="0" fontId="6" fillId="0" borderId="0" xfId="0" applyFont="1" applyAlignment="1">
      <alignment horizontal="center" vertical="center" wrapText="1"/>
    </xf>
    <xf numFmtId="164" fontId="7" fillId="0" borderId="0" xfId="0" applyNumberFormat="1" applyFont="1" applyAlignment="1">
      <alignment vertical="center"/>
    </xf>
    <xf numFmtId="0" fontId="22" fillId="4" borderId="10" xfId="0" applyFont="1" applyFill="1" applyBorder="1" applyAlignment="1">
      <alignment horizontal="center" vertical="center" wrapText="1"/>
    </xf>
    <xf numFmtId="164" fontId="22" fillId="2" borderId="10" xfId="0" applyNumberFormat="1" applyFont="1" applyFill="1" applyBorder="1" applyAlignment="1">
      <alignment horizontal="center" vertical="center" wrapText="1"/>
    </xf>
    <xf numFmtId="0" fontId="23" fillId="10" borderId="13" xfId="0" applyFont="1" applyFill="1" applyBorder="1" applyAlignment="1">
      <alignment horizontal="center" vertical="center" wrapText="1" readingOrder="1"/>
    </xf>
    <xf numFmtId="164" fontId="21" fillId="0" borderId="13" xfId="0" applyNumberFormat="1" applyFont="1" applyBorder="1" applyAlignment="1">
      <alignment horizontal="center" vertical="center"/>
    </xf>
    <xf numFmtId="0" fontId="21" fillId="0" borderId="13" xfId="0" applyFont="1" applyBorder="1" applyAlignment="1">
      <alignment horizontal="center" vertical="center"/>
    </xf>
    <xf numFmtId="0" fontId="23" fillId="10" borderId="13" xfId="0" applyFont="1" applyFill="1" applyBorder="1" applyAlignment="1">
      <alignment horizontal="left" vertical="center" wrapText="1" readingOrder="1"/>
    </xf>
    <xf numFmtId="0" fontId="21" fillId="10" borderId="13" xfId="0" applyFont="1" applyFill="1" applyBorder="1" applyAlignment="1">
      <alignment horizontal="center" vertical="center"/>
    </xf>
    <xf numFmtId="0" fontId="23" fillId="10" borderId="13" xfId="1" applyFont="1" applyFill="1" applyBorder="1" applyAlignment="1">
      <alignment horizontal="left" vertical="center"/>
    </xf>
    <xf numFmtId="0" fontId="23" fillId="0" borderId="13" xfId="1" applyFont="1" applyFill="1" applyBorder="1" applyAlignment="1">
      <alignment vertical="center"/>
    </xf>
    <xf numFmtId="0" fontId="31" fillId="4" borderId="13" xfId="1" applyFont="1" applyFill="1" applyBorder="1" applyAlignment="1">
      <alignment vertical="center"/>
    </xf>
    <xf numFmtId="164" fontId="22" fillId="4" borderId="13" xfId="0" applyNumberFormat="1" applyFont="1" applyFill="1" applyBorder="1" applyAlignment="1">
      <alignment horizontal="center" vertical="center" wrapText="1"/>
    </xf>
    <xf numFmtId="0" fontId="22" fillId="4" borderId="13" xfId="0" applyFont="1" applyFill="1" applyBorder="1" applyAlignment="1">
      <alignment horizontal="center" vertical="center" wrapText="1"/>
    </xf>
    <xf numFmtId="164" fontId="21" fillId="0" borderId="13" xfId="0" applyNumberFormat="1" applyFont="1" applyFill="1" applyBorder="1" applyAlignment="1">
      <alignment horizontal="center" vertical="center" wrapText="1"/>
    </xf>
    <xf numFmtId="0" fontId="21" fillId="0" borderId="13" xfId="0" applyFont="1" applyFill="1" applyBorder="1" applyAlignment="1">
      <alignment horizontal="center" vertical="center" wrapText="1"/>
    </xf>
    <xf numFmtId="0" fontId="7" fillId="0" borderId="13" xfId="0" applyFont="1" applyBorder="1" applyAlignment="1">
      <alignment vertical="center" wrapText="1"/>
    </xf>
    <xf numFmtId="0" fontId="7" fillId="0" borderId="13" xfId="0" applyFont="1" applyBorder="1" applyAlignment="1">
      <alignment vertical="center"/>
    </xf>
    <xf numFmtId="0" fontId="7" fillId="0" borderId="13" xfId="0" applyFont="1" applyFill="1" applyBorder="1" applyAlignment="1">
      <alignment vertical="center" wrapText="1"/>
    </xf>
    <xf numFmtId="0" fontId="0" fillId="0" borderId="0" xfId="0" applyAlignment="1">
      <alignment vertical="center"/>
    </xf>
    <xf numFmtId="0" fontId="35" fillId="0" borderId="0" xfId="0" applyFont="1" applyAlignment="1">
      <alignment horizontal="right" vertical="center"/>
    </xf>
    <xf numFmtId="0" fontId="6" fillId="0" borderId="0" xfId="0" applyFont="1" applyAlignment="1">
      <alignment vertical="center"/>
    </xf>
    <xf numFmtId="0" fontId="0" fillId="6" borderId="13" xfId="0" applyFill="1" applyBorder="1" applyAlignment="1">
      <alignment vertical="center"/>
    </xf>
    <xf numFmtId="0" fontId="35" fillId="0" borderId="13" xfId="0" applyFont="1" applyBorder="1" applyAlignment="1">
      <alignment horizontal="right" vertical="center"/>
    </xf>
    <xf numFmtId="0" fontId="6" fillId="0" borderId="0" xfId="0" applyFont="1" applyBorder="1" applyAlignment="1">
      <alignment vertical="center"/>
    </xf>
    <xf numFmtId="0" fontId="23" fillId="0" borderId="13" xfId="1" applyFont="1" applyFill="1" applyBorder="1" applyAlignment="1">
      <alignment vertical="center" wrapText="1"/>
    </xf>
    <xf numFmtId="0" fontId="0" fillId="0" borderId="0" xfId="0" applyAlignment="1">
      <alignment horizontal="center" vertical="center"/>
    </xf>
    <xf numFmtId="0" fontId="0" fillId="0" borderId="13" xfId="0" applyBorder="1" applyAlignment="1">
      <alignment vertical="center"/>
    </xf>
    <xf numFmtId="0" fontId="7" fillId="0" borderId="13" xfId="0" applyFont="1" applyBorder="1" applyAlignment="1">
      <alignment horizontal="left" vertical="center" wrapText="1"/>
    </xf>
    <xf numFmtId="0" fontId="35" fillId="0" borderId="13" xfId="0" applyFont="1" applyBorder="1" applyAlignment="1">
      <alignment horizontal="right" vertical="center" wrapText="1"/>
    </xf>
    <xf numFmtId="0" fontId="35" fillId="0" borderId="0" xfId="0" applyFont="1" applyBorder="1" applyAlignment="1">
      <alignment horizontal="right" vertical="center" wrapText="1"/>
    </xf>
    <xf numFmtId="0" fontId="12" fillId="0" borderId="13" xfId="0" applyFont="1" applyBorder="1" applyAlignment="1">
      <alignment horizontal="right" vertical="center" wrapText="1"/>
    </xf>
    <xf numFmtId="0" fontId="6" fillId="0" borderId="13" xfId="0" applyFont="1" applyBorder="1" applyAlignment="1">
      <alignment vertical="center"/>
    </xf>
    <xf numFmtId="0" fontId="12" fillId="0" borderId="13" xfId="0" applyFont="1" applyBorder="1" applyAlignment="1">
      <alignment horizontal="right" vertical="center"/>
    </xf>
    <xf numFmtId="0" fontId="12" fillId="0" borderId="13" xfId="0" applyFont="1" applyBorder="1" applyAlignment="1">
      <alignment vertical="center"/>
    </xf>
    <xf numFmtId="0" fontId="6" fillId="0" borderId="0" xfId="0" applyFont="1" applyAlignment="1">
      <alignment horizontal="center" vertical="center"/>
    </xf>
    <xf numFmtId="16" fontId="7" fillId="0" borderId="13" xfId="0" quotePrefix="1" applyNumberFormat="1" applyFont="1" applyBorder="1" applyAlignment="1">
      <alignment horizontal="center" vertical="center"/>
    </xf>
    <xf numFmtId="16" fontId="12" fillId="0" borderId="13" xfId="0" quotePrefix="1" applyNumberFormat="1" applyFont="1" applyBorder="1" applyAlignment="1">
      <alignment horizontal="center" vertical="center"/>
    </xf>
    <xf numFmtId="16" fontId="7" fillId="0" borderId="0" xfId="0" quotePrefix="1" applyNumberFormat="1" applyFont="1" applyAlignment="1">
      <alignment horizontal="center" vertical="center"/>
    </xf>
    <xf numFmtId="0" fontId="7" fillId="0" borderId="13" xfId="0" quotePrefix="1" applyFont="1" applyBorder="1" applyAlignment="1">
      <alignment horizontal="center" vertical="center"/>
    </xf>
    <xf numFmtId="0" fontId="35" fillId="0" borderId="13" xfId="0" quotePrefix="1" applyFont="1" applyBorder="1" applyAlignment="1">
      <alignment horizontal="center" vertical="center"/>
    </xf>
    <xf numFmtId="0" fontId="12" fillId="0" borderId="13" xfId="0" quotePrefix="1" applyFont="1" applyBorder="1" applyAlignment="1">
      <alignment horizontal="center" vertical="center"/>
    </xf>
    <xf numFmtId="0" fontId="0" fillId="6" borderId="13" xfId="0" applyFill="1" applyBorder="1" applyAlignment="1">
      <alignment horizontal="center" vertical="center"/>
    </xf>
    <xf numFmtId="0" fontId="0" fillId="0" borderId="14" xfId="0"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35" fillId="0" borderId="0" xfId="0" applyFont="1" applyAlignment="1">
      <alignment horizontal="center" vertical="center"/>
    </xf>
    <xf numFmtId="0" fontId="0" fillId="0" borderId="13" xfId="0" applyBorder="1" applyAlignment="1">
      <alignment horizontal="center" vertical="center"/>
    </xf>
    <xf numFmtId="0" fontId="35" fillId="0" borderId="13" xfId="0" applyFont="1" applyBorder="1" applyAlignment="1">
      <alignment horizontal="center" vertical="center"/>
    </xf>
    <xf numFmtId="0" fontId="6" fillId="0" borderId="13" xfId="0" applyFont="1" applyBorder="1" applyAlignment="1">
      <alignment horizontal="center" vertical="center"/>
    </xf>
    <xf numFmtId="164" fontId="12" fillId="0" borderId="13" xfId="0" applyNumberFormat="1" applyFont="1" applyBorder="1" applyAlignment="1">
      <alignment horizontal="center" vertical="center"/>
    </xf>
    <xf numFmtId="0" fontId="0" fillId="0" borderId="0" xfId="0" applyBorder="1" applyAlignment="1">
      <alignment horizontal="center" vertical="center"/>
    </xf>
    <xf numFmtId="0" fontId="7" fillId="0" borderId="0" xfId="0" applyFont="1" applyBorder="1" applyAlignment="1">
      <alignment vertical="center" wrapText="1"/>
    </xf>
    <xf numFmtId="164" fontId="35" fillId="0" borderId="13" xfId="0" applyNumberFormat="1" applyFont="1" applyBorder="1" applyAlignment="1">
      <alignment horizontal="center" vertical="center"/>
    </xf>
    <xf numFmtId="2" fontId="35" fillId="0" borderId="13" xfId="0" applyNumberFormat="1" applyFont="1" applyBorder="1" applyAlignment="1">
      <alignment horizontal="center" vertical="center"/>
    </xf>
    <xf numFmtId="9" fontId="0" fillId="6" borderId="13" xfId="9" applyFont="1" applyFill="1" applyBorder="1" applyAlignment="1">
      <alignment horizontal="center" vertical="center"/>
    </xf>
    <xf numFmtId="20" fontId="7" fillId="0" borderId="13" xfId="0" applyNumberFormat="1" applyFont="1" applyBorder="1" applyAlignment="1">
      <alignment horizontal="center" vertical="center" wrapText="1"/>
    </xf>
    <xf numFmtId="0" fontId="7" fillId="0" borderId="13" xfId="0" applyFont="1" applyBorder="1" applyAlignment="1">
      <alignment horizontal="right" vertical="center"/>
    </xf>
    <xf numFmtId="0" fontId="7" fillId="0" borderId="13" xfId="0" applyFont="1" applyBorder="1" applyAlignment="1">
      <alignment horizontal="right" vertical="center" wrapText="1"/>
    </xf>
    <xf numFmtId="164" fontId="7" fillId="0" borderId="13" xfId="0" applyNumberFormat="1" applyFont="1" applyBorder="1" applyAlignment="1">
      <alignment horizontal="center" vertical="center"/>
    </xf>
    <xf numFmtId="2" fontId="12" fillId="7" borderId="13" xfId="0" applyNumberFormat="1" applyFont="1" applyFill="1" applyBorder="1" applyAlignment="1">
      <alignment horizontal="center" vertical="center"/>
    </xf>
    <xf numFmtId="164" fontId="12" fillId="7" borderId="13" xfId="0" applyNumberFormat="1" applyFont="1" applyFill="1" applyBorder="1" applyAlignment="1">
      <alignment horizontal="center" vertical="center"/>
    </xf>
    <xf numFmtId="0" fontId="0" fillId="0" borderId="13" xfId="0" applyBorder="1" applyAlignment="1">
      <alignment horizontal="right" vertical="center"/>
    </xf>
    <xf numFmtId="0" fontId="0" fillId="6" borderId="13" xfId="0" applyFill="1" applyBorder="1" applyAlignment="1">
      <alignment horizontal="right" vertical="center"/>
    </xf>
    <xf numFmtId="0" fontId="12" fillId="6" borderId="13" xfId="0" applyFont="1" applyFill="1" applyBorder="1" applyAlignment="1">
      <alignment horizontal="center" vertical="center"/>
    </xf>
    <xf numFmtId="0" fontId="7" fillId="0" borderId="0" xfId="0" applyFont="1" applyFill="1"/>
    <xf numFmtId="165" fontId="35" fillId="0" borderId="13" xfId="0" applyNumberFormat="1" applyFont="1" applyBorder="1" applyAlignment="1">
      <alignment horizontal="center" vertical="center"/>
    </xf>
    <xf numFmtId="0" fontId="0" fillId="0" borderId="13" xfId="0" applyFill="1" applyBorder="1" applyAlignment="1">
      <alignment vertical="center"/>
    </xf>
    <xf numFmtId="0" fontId="35" fillId="0" borderId="14" xfId="0" applyFont="1" applyBorder="1" applyAlignment="1">
      <alignment horizontal="center" vertical="center"/>
    </xf>
    <xf numFmtId="0" fontId="7" fillId="6" borderId="13" xfId="0" applyFont="1" applyFill="1" applyBorder="1" applyAlignment="1">
      <alignment horizontal="center" vertical="center"/>
    </xf>
    <xf numFmtId="0" fontId="7" fillId="0" borderId="13" xfId="0" quotePrefix="1" applyFont="1"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0" xfId="0" applyFill="1" applyAlignment="1">
      <alignment vertical="center"/>
    </xf>
    <xf numFmtId="0" fontId="12" fillId="0" borderId="13" xfId="0" quotePrefix="1" applyFont="1" applyFill="1" applyBorder="1" applyAlignment="1">
      <alignment horizontal="center" vertical="center"/>
    </xf>
    <xf numFmtId="1" fontId="0" fillId="6" borderId="13" xfId="9" applyNumberFormat="1" applyFont="1" applyFill="1" applyBorder="1" applyAlignment="1">
      <alignment horizontal="center" vertical="center"/>
    </xf>
    <xf numFmtId="0" fontId="30" fillId="10" borderId="13" xfId="0" applyFont="1" applyFill="1" applyBorder="1" applyAlignment="1">
      <alignment horizontal="center" vertical="center" wrapText="1"/>
    </xf>
    <xf numFmtId="0" fontId="30" fillId="10" borderId="13" xfId="0" applyFont="1" applyFill="1" applyBorder="1" applyAlignment="1">
      <alignment horizontal="center" vertical="center" wrapText="1" readingOrder="1"/>
    </xf>
    <xf numFmtId="0" fontId="30" fillId="0" borderId="13" xfId="0" applyFont="1" applyBorder="1" applyAlignment="1">
      <alignment horizontal="center" vertical="center" wrapText="1" readingOrder="1"/>
    </xf>
    <xf numFmtId="0" fontId="30" fillId="10" borderId="13" xfId="1" applyFont="1" applyFill="1" applyBorder="1" applyAlignment="1">
      <alignment horizontal="center" vertical="center"/>
    </xf>
    <xf numFmtId="164" fontId="30" fillId="10" borderId="13" xfId="0" applyNumberFormat="1" applyFont="1" applyFill="1" applyBorder="1" applyAlignment="1">
      <alignment horizontal="center" vertical="center"/>
    </xf>
    <xf numFmtId="0" fontId="30" fillId="10" borderId="13" xfId="0" applyFont="1" applyFill="1" applyBorder="1" applyAlignment="1">
      <alignment horizontal="center" vertical="center"/>
    </xf>
    <xf numFmtId="0" fontId="7" fillId="0" borderId="13" xfId="0" applyFont="1" applyBorder="1" applyAlignment="1">
      <alignment horizontal="center" vertical="center"/>
    </xf>
    <xf numFmtId="0" fontId="1" fillId="0" borderId="0" xfId="11"/>
    <xf numFmtId="0" fontId="12" fillId="0" borderId="0" xfId="11" applyFont="1"/>
    <xf numFmtId="0" fontId="42" fillId="0" borderId="0" xfId="11" applyFont="1"/>
    <xf numFmtId="0" fontId="47" fillId="0" borderId="15" xfId="11" applyFont="1" applyBorder="1"/>
    <xf numFmtId="0" fontId="12" fillId="0" borderId="16" xfId="11" applyFont="1" applyBorder="1"/>
    <xf numFmtId="0" fontId="12" fillId="0" borderId="17" xfId="11" applyFont="1" applyBorder="1"/>
    <xf numFmtId="0" fontId="10" fillId="0" borderId="21" xfId="11" applyFont="1" applyBorder="1"/>
    <xf numFmtId="0" fontId="12" fillId="0" borderId="22" xfId="11" applyFont="1" applyBorder="1"/>
    <xf numFmtId="0" fontId="10" fillId="0" borderId="21" xfId="11" applyFont="1" applyBorder="1" applyAlignment="1">
      <alignment vertical="center"/>
    </xf>
    <xf numFmtId="10" fontId="10" fillId="6" borderId="1" xfId="13" applyNumberFormat="1" applyFont="1" applyFill="1" applyBorder="1" applyAlignment="1">
      <alignment vertical="center"/>
    </xf>
    <xf numFmtId="10" fontId="10" fillId="6" borderId="20" xfId="13" applyNumberFormat="1" applyFont="1" applyFill="1" applyBorder="1" applyAlignment="1">
      <alignment vertical="center"/>
    </xf>
    <xf numFmtId="10" fontId="10" fillId="6" borderId="2" xfId="13" applyNumberFormat="1" applyFont="1" applyFill="1" applyBorder="1" applyAlignment="1">
      <alignment vertical="center"/>
    </xf>
    <xf numFmtId="10" fontId="10" fillId="0" borderId="0" xfId="11" applyNumberFormat="1" applyFont="1" applyAlignment="1">
      <alignment vertical="center"/>
    </xf>
    <xf numFmtId="0" fontId="10" fillId="0" borderId="22" xfId="11" applyFont="1" applyBorder="1" applyAlignment="1">
      <alignment vertical="center"/>
    </xf>
    <xf numFmtId="0" fontId="42" fillId="0" borderId="0" xfId="11" applyFont="1" applyAlignment="1">
      <alignment vertical="center"/>
    </xf>
    <xf numFmtId="0" fontId="10" fillId="0" borderId="21" xfId="11" applyFont="1" applyBorder="1" applyAlignment="1">
      <alignment vertical="center" wrapText="1"/>
    </xf>
    <xf numFmtId="164" fontId="10" fillId="3" borderId="21" xfId="11" applyNumberFormat="1" applyFont="1" applyFill="1" applyBorder="1" applyAlignment="1">
      <alignment vertical="center"/>
    </xf>
    <xf numFmtId="164" fontId="10" fillId="3" borderId="1" xfId="11" applyNumberFormat="1" applyFont="1" applyFill="1" applyBorder="1" applyAlignment="1">
      <alignment vertical="center"/>
    </xf>
    <xf numFmtId="164" fontId="10" fillId="3" borderId="0" xfId="11" applyNumberFormat="1" applyFont="1" applyFill="1" applyAlignment="1">
      <alignment vertical="center"/>
    </xf>
    <xf numFmtId="0" fontId="10" fillId="8" borderId="0" xfId="11" applyFont="1" applyFill="1" applyAlignment="1">
      <alignment vertical="center"/>
    </xf>
    <xf numFmtId="0" fontId="7" fillId="0" borderId="22" xfId="11" applyFont="1" applyBorder="1" applyAlignment="1">
      <alignment vertical="center"/>
    </xf>
    <xf numFmtId="2" fontId="10" fillId="3" borderId="1" xfId="11" applyNumberFormat="1" applyFont="1" applyFill="1" applyBorder="1" applyAlignment="1">
      <alignment vertical="center"/>
    </xf>
    <xf numFmtId="2" fontId="10" fillId="3" borderId="3" xfId="11" applyNumberFormat="1" applyFont="1" applyFill="1" applyBorder="1" applyAlignment="1">
      <alignment vertical="center"/>
    </xf>
    <xf numFmtId="2" fontId="10" fillId="3" borderId="23" xfId="11" applyNumberFormat="1" applyFont="1" applyFill="1" applyBorder="1" applyAlignment="1">
      <alignment vertical="center"/>
    </xf>
    <xf numFmtId="0" fontId="7" fillId="0" borderId="21" xfId="11" applyFont="1" applyBorder="1" applyAlignment="1">
      <alignment vertical="center"/>
    </xf>
    <xf numFmtId="2" fontId="10" fillId="0" borderId="0" xfId="11" applyNumberFormat="1" applyFont="1" applyAlignment="1">
      <alignment vertical="center"/>
    </xf>
    <xf numFmtId="2" fontId="47" fillId="11" borderId="0" xfId="11" applyNumberFormat="1" applyFont="1" applyFill="1" applyAlignment="1">
      <alignment vertical="center"/>
    </xf>
    <xf numFmtId="0" fontId="7" fillId="0" borderId="24" xfId="11" applyFont="1" applyBorder="1" applyAlignment="1">
      <alignment vertical="center"/>
    </xf>
    <xf numFmtId="2" fontId="10" fillId="0" borderId="3" xfId="11" applyNumberFormat="1" applyFont="1" applyBorder="1" applyAlignment="1">
      <alignment vertical="center"/>
    </xf>
    <xf numFmtId="2" fontId="47" fillId="11" borderId="3" xfId="11" applyNumberFormat="1" applyFont="1" applyFill="1" applyBorder="1" applyAlignment="1">
      <alignment vertical="center"/>
    </xf>
    <xf numFmtId="0" fontId="7" fillId="0" borderId="23" xfId="11" applyFont="1" applyBorder="1" applyAlignment="1">
      <alignment vertical="center"/>
    </xf>
    <xf numFmtId="0" fontId="21" fillId="4" borderId="10" xfId="11" applyFont="1" applyFill="1" applyBorder="1" applyAlignment="1">
      <alignment vertical="center"/>
    </xf>
    <xf numFmtId="0" fontId="21" fillId="4" borderId="11" xfId="11" applyFont="1" applyFill="1" applyBorder="1" applyAlignment="1">
      <alignment vertical="center"/>
    </xf>
    <xf numFmtId="0" fontId="22" fillId="4" borderId="12" xfId="11" applyFont="1" applyFill="1" applyBorder="1" applyAlignment="1">
      <alignment horizontal="center" vertical="center" wrapText="1"/>
    </xf>
    <xf numFmtId="0" fontId="22" fillId="2" borderId="8" xfId="11" applyFont="1" applyFill="1" applyBorder="1" applyAlignment="1">
      <alignment horizontal="center" vertical="center" wrapText="1"/>
    </xf>
    <xf numFmtId="0" fontId="22" fillId="2" borderId="9" xfId="11" applyFont="1" applyFill="1" applyBorder="1" applyAlignment="1">
      <alignment horizontal="center" vertical="center" wrapText="1"/>
    </xf>
    <xf numFmtId="0" fontId="22" fillId="5" borderId="8" xfId="11" applyFont="1" applyFill="1" applyBorder="1" applyAlignment="1">
      <alignment horizontal="center" vertical="center" wrapText="1"/>
    </xf>
    <xf numFmtId="0" fontId="22" fillId="5" borderId="9" xfId="11" applyFont="1" applyFill="1" applyBorder="1" applyAlignment="1">
      <alignment horizontal="center" vertical="center" wrapText="1"/>
    </xf>
    <xf numFmtId="0" fontId="23" fillId="0" borderId="10" xfId="14" applyFont="1" applyBorder="1" applyAlignment="1">
      <alignment vertical="center"/>
    </xf>
    <xf numFmtId="164" fontId="21" fillId="2" borderId="4" xfId="11" applyNumberFormat="1" applyFont="1" applyFill="1" applyBorder="1" applyAlignment="1">
      <alignment horizontal="center" vertical="center"/>
    </xf>
    <xf numFmtId="2" fontId="21" fillId="0" borderId="5" xfId="11" applyNumberFormat="1" applyFont="1" applyBorder="1" applyAlignment="1">
      <alignment horizontal="center" vertical="center"/>
    </xf>
    <xf numFmtId="2" fontId="21" fillId="5" borderId="4" xfId="11" applyNumberFormat="1" applyFont="1" applyFill="1" applyBorder="1" applyAlignment="1">
      <alignment horizontal="center" vertical="center"/>
    </xf>
    <xf numFmtId="165" fontId="23" fillId="0" borderId="5" xfId="14" applyNumberFormat="1" applyFont="1" applyBorder="1" applyAlignment="1">
      <alignment horizontal="center" vertical="center"/>
    </xf>
    <xf numFmtId="0" fontId="1" fillId="2" borderId="4" xfId="11" applyFill="1" applyBorder="1"/>
    <xf numFmtId="0" fontId="1" fillId="0" borderId="5" xfId="11" applyBorder="1"/>
    <xf numFmtId="0" fontId="1" fillId="5" borderId="4" xfId="11" applyFill="1" applyBorder="1"/>
    <xf numFmtId="0" fontId="23" fillId="0" borderId="11" xfId="14" applyFont="1" applyBorder="1" applyAlignment="1">
      <alignment vertical="center"/>
    </xf>
    <xf numFmtId="164" fontId="21" fillId="2" borderId="6" xfId="11" applyNumberFormat="1" applyFont="1" applyFill="1" applyBorder="1" applyAlignment="1">
      <alignment horizontal="center" vertical="center"/>
    </xf>
    <xf numFmtId="2" fontId="21" fillId="0" borderId="7" xfId="11" applyNumberFormat="1" applyFont="1" applyBorder="1" applyAlignment="1">
      <alignment horizontal="center" vertical="center"/>
    </xf>
    <xf numFmtId="2" fontId="21" fillId="5" borderId="6" xfId="11" applyNumberFormat="1" applyFont="1" applyFill="1" applyBorder="1" applyAlignment="1">
      <alignment horizontal="center" vertical="center"/>
    </xf>
    <xf numFmtId="165" fontId="23" fillId="0" borderId="7" xfId="14" applyNumberFormat="1" applyFont="1" applyBorder="1" applyAlignment="1">
      <alignment horizontal="center" vertical="center"/>
    </xf>
    <xf numFmtId="0" fontId="1" fillId="2" borderId="6" xfId="11" applyFill="1" applyBorder="1"/>
    <xf numFmtId="0" fontId="1" fillId="0" borderId="7" xfId="11" applyBorder="1"/>
    <xf numFmtId="0" fontId="1" fillId="5" borderId="6" xfId="11" applyFill="1" applyBorder="1"/>
    <xf numFmtId="164" fontId="21" fillId="0" borderId="7" xfId="11" applyNumberFormat="1" applyFont="1" applyBorder="1" applyAlignment="1">
      <alignment horizontal="center" vertical="center"/>
    </xf>
    <xf numFmtId="2" fontId="23" fillId="0" borderId="7" xfId="14" applyNumberFormat="1" applyFont="1" applyBorder="1" applyAlignment="1">
      <alignment horizontal="center" vertical="center"/>
    </xf>
    <xf numFmtId="164" fontId="30" fillId="2" borderId="6" xfId="11" applyNumberFormat="1" applyFont="1" applyFill="1" applyBorder="1" applyAlignment="1">
      <alignment horizontal="center"/>
    </xf>
    <xf numFmtId="164" fontId="30" fillId="0" borderId="7" xfId="11" applyNumberFormat="1" applyFont="1" applyBorder="1" applyAlignment="1">
      <alignment horizontal="center"/>
    </xf>
    <xf numFmtId="164" fontId="30" fillId="5" borderId="6" xfId="11" applyNumberFormat="1" applyFont="1" applyFill="1" applyBorder="1" applyAlignment="1">
      <alignment horizontal="center"/>
    </xf>
    <xf numFmtId="0" fontId="23" fillId="0" borderId="11" xfId="11" applyFont="1" applyBorder="1" applyAlignment="1">
      <alignment vertical="center"/>
    </xf>
    <xf numFmtId="164" fontId="21" fillId="12" borderId="6" xfId="11" applyNumberFormat="1" applyFont="1" applyFill="1" applyBorder="1" applyAlignment="1">
      <alignment horizontal="center" vertical="center"/>
    </xf>
    <xf numFmtId="2" fontId="23" fillId="0" borderId="7" xfId="11" applyNumberFormat="1" applyFont="1" applyBorder="1" applyAlignment="1">
      <alignment horizontal="center" vertical="center"/>
    </xf>
    <xf numFmtId="0" fontId="1" fillId="0" borderId="6" xfId="11" applyBorder="1"/>
    <xf numFmtId="0" fontId="23" fillId="0" borderId="12" xfId="11" applyFont="1" applyBorder="1" applyAlignment="1">
      <alignment vertical="center"/>
    </xf>
    <xf numFmtId="164" fontId="21" fillId="12" borderId="8" xfId="11" applyNumberFormat="1" applyFont="1" applyFill="1" applyBorder="1" applyAlignment="1">
      <alignment horizontal="center" vertical="center"/>
    </xf>
    <xf numFmtId="164" fontId="21" fillId="12" borderId="9" xfId="11" applyNumberFormat="1" applyFont="1" applyFill="1" applyBorder="1" applyAlignment="1">
      <alignment horizontal="center" vertical="center"/>
    </xf>
    <xf numFmtId="2" fontId="21" fillId="5" borderId="8" xfId="11" applyNumberFormat="1" applyFont="1" applyFill="1" applyBorder="1" applyAlignment="1">
      <alignment horizontal="center" vertical="center"/>
    </xf>
    <xf numFmtId="2" fontId="23" fillId="0" borderId="9" xfId="11" applyNumberFormat="1" applyFont="1" applyBorder="1" applyAlignment="1">
      <alignment horizontal="center" vertical="center"/>
    </xf>
    <xf numFmtId="0" fontId="1" fillId="0" borderId="8" xfId="11" applyBorder="1"/>
    <xf numFmtId="0" fontId="1" fillId="0" borderId="9" xfId="11" applyBorder="1"/>
    <xf numFmtId="0" fontId="23" fillId="12" borderId="0" xfId="11" applyFont="1" applyFill="1" applyAlignment="1">
      <alignment vertical="center"/>
    </xf>
    <xf numFmtId="0" fontId="1" fillId="12" borderId="0" xfId="11" applyFill="1"/>
    <xf numFmtId="0" fontId="22" fillId="2" borderId="26" xfId="0" applyFont="1" applyFill="1" applyBorder="1" applyAlignment="1">
      <alignment horizontal="center" vertical="center" wrapText="1"/>
    </xf>
    <xf numFmtId="164" fontId="21" fillId="2" borderId="26" xfId="0" applyNumberFormat="1" applyFont="1" applyFill="1" applyBorder="1" applyAlignment="1">
      <alignment horizontal="center" vertical="center"/>
    </xf>
    <xf numFmtId="164" fontId="30" fillId="2" borderId="26" xfId="0" applyNumberFormat="1" applyFont="1" applyFill="1" applyBorder="1" applyAlignment="1">
      <alignment horizontal="center" vertical="center"/>
    </xf>
    <xf numFmtId="0" fontId="21" fillId="4" borderId="27" xfId="0" applyFont="1" applyFill="1" applyBorder="1" applyAlignment="1">
      <alignment vertical="center"/>
    </xf>
    <xf numFmtId="0" fontId="22" fillId="4" borderId="28" xfId="0" applyFont="1" applyFill="1" applyBorder="1" applyAlignment="1">
      <alignment horizontal="center" vertical="center" wrapText="1"/>
    </xf>
    <xf numFmtId="0" fontId="23" fillId="0" borderId="28" xfId="14" applyFont="1" applyBorder="1" applyAlignment="1">
      <alignment vertical="center"/>
    </xf>
    <xf numFmtId="0" fontId="23" fillId="0" borderId="28" xfId="1" applyFont="1" applyFill="1" applyBorder="1" applyAlignment="1">
      <alignment vertical="center"/>
    </xf>
    <xf numFmtId="0" fontId="11" fillId="0" borderId="28" xfId="1" applyFont="1" applyFill="1" applyBorder="1" applyAlignment="1">
      <alignment vertical="center" wrapText="1"/>
    </xf>
    <xf numFmtId="0" fontId="30" fillId="0" borderId="28" xfId="1" applyFont="1" applyFill="1" applyBorder="1" applyAlignment="1">
      <alignment vertical="center"/>
    </xf>
    <xf numFmtId="0" fontId="23" fillId="0" borderId="28" xfId="0" applyFont="1" applyBorder="1" applyAlignment="1">
      <alignment vertical="center"/>
    </xf>
    <xf numFmtId="0" fontId="23" fillId="0" borderId="29" xfId="14" applyFont="1" applyBorder="1" applyAlignment="1">
      <alignment vertical="center"/>
    </xf>
    <xf numFmtId="0" fontId="22" fillId="2" borderId="32" xfId="0" applyFont="1" applyFill="1" applyBorder="1" applyAlignment="1">
      <alignment horizontal="center" vertical="center" wrapText="1"/>
    </xf>
    <xf numFmtId="0" fontId="22" fillId="2" borderId="33" xfId="0" applyFont="1" applyFill="1" applyBorder="1" applyAlignment="1">
      <alignment horizontal="center" vertical="center" wrapText="1"/>
    </xf>
    <xf numFmtId="164" fontId="21" fillId="2" borderId="32" xfId="0" applyNumberFormat="1" applyFont="1" applyFill="1" applyBorder="1" applyAlignment="1">
      <alignment horizontal="center" vertical="center"/>
    </xf>
    <xf numFmtId="164" fontId="21" fillId="0" borderId="33" xfId="0" applyNumberFormat="1" applyFont="1" applyBorder="1" applyAlignment="1">
      <alignment horizontal="center" vertical="center"/>
    </xf>
    <xf numFmtId="164" fontId="30" fillId="2" borderId="32" xfId="0" applyNumberFormat="1" applyFont="1" applyFill="1" applyBorder="1" applyAlignment="1">
      <alignment horizontal="center" vertical="center"/>
    </xf>
    <xf numFmtId="164" fontId="30" fillId="0" borderId="33" xfId="0" applyNumberFormat="1" applyFont="1" applyBorder="1" applyAlignment="1">
      <alignment horizontal="center" vertical="center"/>
    </xf>
    <xf numFmtId="164" fontId="21" fillId="2" borderId="32" xfId="0" applyNumberFormat="1" applyFont="1" applyFill="1" applyBorder="1" applyAlignment="1">
      <alignment horizontal="center" vertical="center" wrapText="1"/>
    </xf>
    <xf numFmtId="164" fontId="21" fillId="2" borderId="34" xfId="0" applyNumberFormat="1" applyFont="1" applyFill="1" applyBorder="1" applyAlignment="1">
      <alignment horizontal="center" vertical="center" wrapText="1"/>
    </xf>
    <xf numFmtId="0" fontId="0" fillId="0" borderId="35" xfId="0" applyBorder="1"/>
    <xf numFmtId="0" fontId="22" fillId="5" borderId="32" xfId="0" applyFont="1" applyFill="1" applyBorder="1" applyAlignment="1">
      <alignment horizontal="center" vertical="center" wrapText="1"/>
    </xf>
    <xf numFmtId="0" fontId="22" fillId="5" borderId="33" xfId="0" applyFont="1" applyFill="1" applyBorder="1" applyAlignment="1">
      <alignment horizontal="center" vertical="center" wrapText="1"/>
    </xf>
    <xf numFmtId="2" fontId="21" fillId="5" borderId="32" xfId="0" applyNumberFormat="1" applyFont="1" applyFill="1" applyBorder="1" applyAlignment="1">
      <alignment horizontal="center" vertical="center"/>
    </xf>
    <xf numFmtId="2" fontId="23" fillId="0" borderId="33" xfId="14" applyNumberFormat="1" applyFont="1" applyBorder="1" applyAlignment="1">
      <alignment horizontal="center" vertical="center"/>
    </xf>
    <xf numFmtId="2" fontId="23" fillId="0" borderId="33" xfId="1" applyNumberFormat="1" applyFont="1" applyFill="1" applyBorder="1" applyAlignment="1">
      <alignment horizontal="center" vertical="center"/>
    </xf>
    <xf numFmtId="2" fontId="30" fillId="5" borderId="32" xfId="0" applyNumberFormat="1" applyFont="1" applyFill="1" applyBorder="1" applyAlignment="1">
      <alignment horizontal="center" vertical="center"/>
    </xf>
    <xf numFmtId="2" fontId="30" fillId="0" borderId="33" xfId="1" applyNumberFormat="1" applyFont="1" applyFill="1" applyBorder="1" applyAlignment="1">
      <alignment horizontal="center" vertical="center"/>
    </xf>
    <xf numFmtId="2" fontId="23" fillId="0" borderId="33" xfId="0" applyNumberFormat="1" applyFont="1" applyBorder="1" applyAlignment="1">
      <alignment horizontal="center" vertical="center"/>
    </xf>
    <xf numFmtId="164" fontId="21" fillId="0" borderId="34" xfId="0" applyNumberFormat="1" applyFont="1" applyBorder="1" applyAlignment="1">
      <alignment horizontal="center" vertical="center"/>
    </xf>
    <xf numFmtId="2" fontId="23" fillId="0" borderId="35" xfId="0" applyNumberFormat="1" applyFont="1" applyBorder="1" applyAlignment="1">
      <alignment horizontal="center" vertical="center"/>
    </xf>
    <xf numFmtId="0" fontId="0" fillId="0" borderId="28" xfId="0" applyBorder="1"/>
    <xf numFmtId="0" fontId="17" fillId="0" borderId="28" xfId="0" applyFont="1" applyBorder="1" applyAlignment="1">
      <alignment vertical="center"/>
    </xf>
    <xf numFmtId="0" fontId="0" fillId="0" borderId="29" xfId="0" applyBorder="1"/>
    <xf numFmtId="0" fontId="21" fillId="0" borderId="18" xfId="0" applyFont="1" applyBorder="1" applyAlignment="1">
      <alignment vertical="center"/>
    </xf>
    <xf numFmtId="0" fontId="50" fillId="0" borderId="28" xfId="1" applyFont="1" applyFill="1" applyBorder="1" applyAlignment="1">
      <alignment vertical="center" wrapText="1"/>
    </xf>
    <xf numFmtId="0" fontId="30" fillId="0" borderId="28" xfId="1" applyFont="1" applyFill="1" applyBorder="1" applyAlignment="1">
      <alignment vertical="center" wrapText="1"/>
    </xf>
    <xf numFmtId="164" fontId="30" fillId="5" borderId="32" xfId="0" applyNumberFormat="1" applyFont="1" applyFill="1" applyBorder="1" applyAlignment="1">
      <alignment horizontal="center" vertical="center"/>
    </xf>
    <xf numFmtId="0" fontId="7" fillId="0" borderId="28" xfId="0" applyFont="1" applyBorder="1"/>
    <xf numFmtId="0" fontId="22" fillId="5" borderId="38" xfId="0" applyFont="1" applyFill="1" applyBorder="1" applyAlignment="1">
      <alignment horizontal="center" vertical="center" wrapText="1"/>
    </xf>
    <xf numFmtId="2" fontId="21" fillId="5" borderId="38" xfId="0" applyNumberFormat="1" applyFont="1" applyFill="1" applyBorder="1" applyAlignment="1">
      <alignment horizontal="center" vertical="center"/>
    </xf>
    <xf numFmtId="2" fontId="30" fillId="5" borderId="38" xfId="0" applyNumberFormat="1" applyFont="1" applyFill="1" applyBorder="1" applyAlignment="1">
      <alignment horizontal="center" vertical="center"/>
    </xf>
    <xf numFmtId="164" fontId="21" fillId="0" borderId="39" xfId="0" applyNumberFormat="1" applyFont="1" applyBorder="1" applyAlignment="1">
      <alignment horizontal="center" vertical="center"/>
    </xf>
    <xf numFmtId="0" fontId="23" fillId="0" borderId="28" xfId="1" applyFont="1" applyFill="1" applyBorder="1" applyAlignment="1">
      <alignment vertical="center" wrapText="1"/>
    </xf>
    <xf numFmtId="0" fontId="17" fillId="0" borderId="28" xfId="0" applyFont="1" applyBorder="1" applyAlignment="1">
      <alignment vertical="center" wrapText="1"/>
    </xf>
    <xf numFmtId="2" fontId="30" fillId="2" borderId="32" xfId="0" applyNumberFormat="1" applyFont="1" applyFill="1" applyBorder="1" applyAlignment="1">
      <alignment horizontal="center" vertical="center"/>
    </xf>
    <xf numFmtId="165" fontId="30" fillId="2" borderId="32" xfId="0" applyNumberFormat="1" applyFont="1" applyFill="1" applyBorder="1" applyAlignment="1">
      <alignment horizontal="center" vertical="center"/>
    </xf>
    <xf numFmtId="164" fontId="21" fillId="2" borderId="40" xfId="0" applyNumberFormat="1" applyFont="1" applyFill="1" applyBorder="1" applyAlignment="1">
      <alignment horizontal="center" vertical="center" wrapText="1"/>
    </xf>
    <xf numFmtId="0" fontId="0" fillId="0" borderId="42" xfId="0" applyBorder="1"/>
    <xf numFmtId="0" fontId="6" fillId="0" borderId="28" xfId="0" applyFont="1" applyBorder="1"/>
    <xf numFmtId="0" fontId="7" fillId="0" borderId="28" xfId="0" applyFont="1" applyBorder="1" applyAlignment="1">
      <alignment horizontal="left" indent="1"/>
    </xf>
    <xf numFmtId="0" fontId="7" fillId="0" borderId="28" xfId="0" applyFont="1" applyFill="1" applyBorder="1" applyAlignment="1">
      <alignment horizontal="left" indent="1"/>
    </xf>
    <xf numFmtId="0" fontId="6" fillId="0" borderId="28" xfId="0" applyFont="1" applyFill="1" applyBorder="1" applyAlignment="1">
      <alignment horizontal="left"/>
    </xf>
    <xf numFmtId="0" fontId="7" fillId="0" borderId="28" xfId="0" applyFont="1" applyFill="1" applyBorder="1" applyAlignment="1">
      <alignment horizontal="left" indent="2"/>
    </xf>
    <xf numFmtId="11" fontId="30" fillId="5" borderId="38" xfId="0" applyNumberFormat="1" applyFont="1" applyFill="1" applyBorder="1" applyAlignment="1">
      <alignment horizontal="center" vertical="center"/>
    </xf>
    <xf numFmtId="0" fontId="0" fillId="0" borderId="43" xfId="0" applyBorder="1"/>
    <xf numFmtId="164" fontId="22" fillId="5" borderId="4" xfId="0" applyNumberFormat="1" applyFont="1" applyFill="1" applyBorder="1" applyAlignment="1">
      <alignment horizontal="center" vertical="center" wrapText="1"/>
    </xf>
    <xf numFmtId="0" fontId="28" fillId="9" borderId="13" xfId="0" applyFont="1" applyFill="1" applyBorder="1" applyAlignment="1">
      <alignment horizontal="center" vertical="center" wrapText="1" readingOrder="1"/>
    </xf>
    <xf numFmtId="164" fontId="22" fillId="2" borderId="30" xfId="0" applyNumberFormat="1" applyFont="1" applyFill="1" applyBorder="1" applyAlignment="1">
      <alignment horizontal="center" vertical="center" wrapText="1"/>
    </xf>
    <xf numFmtId="0" fontId="21" fillId="0" borderId="31" xfId="0" applyFont="1" applyBorder="1" applyAlignment="1">
      <alignment vertical="center"/>
    </xf>
    <xf numFmtId="164" fontId="22" fillId="5" borderId="30" xfId="0" applyNumberFormat="1" applyFont="1" applyFill="1" applyBorder="1" applyAlignment="1">
      <alignment horizontal="center" vertical="center" wrapText="1"/>
    </xf>
    <xf numFmtId="0" fontId="21" fillId="5" borderId="31" xfId="0" applyFont="1" applyFill="1" applyBorder="1" applyAlignment="1">
      <alignment vertical="center"/>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22" fillId="5" borderId="37" xfId="0" applyFont="1" applyFill="1" applyBorder="1" applyAlignment="1">
      <alignment horizontal="center" vertical="center"/>
    </xf>
    <xf numFmtId="0" fontId="22" fillId="5" borderId="36" xfId="0" applyFont="1" applyFill="1" applyBorder="1" applyAlignment="1">
      <alignment horizontal="center" vertical="center"/>
    </xf>
    <xf numFmtId="0" fontId="22" fillId="5" borderId="41" xfId="0" applyFont="1" applyFill="1" applyBorder="1" applyAlignment="1">
      <alignment horizontal="center" vertical="center"/>
    </xf>
    <xf numFmtId="0" fontId="31" fillId="4" borderId="13" xfId="0" applyFont="1" applyFill="1" applyBorder="1" applyAlignment="1">
      <alignment horizontal="left" vertical="center"/>
    </xf>
    <xf numFmtId="0" fontId="40" fillId="0" borderId="13" xfId="0" applyFont="1" applyFill="1" applyBorder="1" applyAlignment="1">
      <alignment horizontal="left" vertical="center"/>
    </xf>
    <xf numFmtId="0" fontId="7" fillId="0" borderId="13" xfId="0" applyFont="1" applyBorder="1" applyAlignment="1">
      <alignment horizontal="center"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3" xfId="0" applyFont="1" applyBorder="1" applyAlignment="1">
      <alignment horizontal="center" vertical="center"/>
    </xf>
    <xf numFmtId="0" fontId="7" fillId="0" borderId="13" xfId="0" applyFont="1" applyFill="1" applyBorder="1" applyAlignment="1">
      <alignment horizontal="center" vertical="center" wrapText="1"/>
    </xf>
    <xf numFmtId="164" fontId="22" fillId="2" borderId="4" xfId="11" applyNumberFormat="1" applyFont="1" applyFill="1" applyBorder="1" applyAlignment="1">
      <alignment horizontal="center" vertical="center" wrapText="1"/>
    </xf>
    <xf numFmtId="164" fontId="22" fillId="2" borderId="25" xfId="11" applyNumberFormat="1" applyFont="1" applyFill="1" applyBorder="1" applyAlignment="1">
      <alignment horizontal="center" vertical="center" wrapText="1"/>
    </xf>
    <xf numFmtId="164" fontId="22" fillId="2" borderId="5" xfId="11" applyNumberFormat="1" applyFont="1" applyFill="1" applyBorder="1" applyAlignment="1">
      <alignment horizontal="center" vertical="center" wrapText="1"/>
    </xf>
    <xf numFmtId="164" fontId="22" fillId="2" borderId="6" xfId="11" applyNumberFormat="1" applyFont="1" applyFill="1" applyBorder="1" applyAlignment="1">
      <alignment horizontal="center" vertical="center" wrapText="1"/>
    </xf>
    <xf numFmtId="164" fontId="22" fillId="2" borderId="7" xfId="11" applyNumberFormat="1" applyFont="1" applyFill="1" applyBorder="1" applyAlignment="1">
      <alignment horizontal="center" vertical="center" wrapText="1"/>
    </xf>
    <xf numFmtId="164" fontId="22" fillId="5" borderId="6" xfId="11" applyNumberFormat="1" applyFont="1" applyFill="1" applyBorder="1" applyAlignment="1">
      <alignment horizontal="center" vertical="center" wrapText="1"/>
    </xf>
    <xf numFmtId="164" fontId="22" fillId="5" borderId="7" xfId="11" applyNumberFormat="1" applyFont="1" applyFill="1" applyBorder="1" applyAlignment="1">
      <alignment horizontal="center" vertical="center" wrapText="1"/>
    </xf>
    <xf numFmtId="0" fontId="7" fillId="10" borderId="0" xfId="0" applyFont="1" applyFill="1"/>
    <xf numFmtId="0" fontId="5" fillId="10" borderId="0" xfId="0" applyFont="1" applyFill="1" applyAlignment="1">
      <alignment vertical="center" wrapText="1"/>
    </xf>
    <xf numFmtId="0" fontId="5" fillId="10" borderId="0" xfId="0" applyFont="1" applyFill="1" applyAlignment="1">
      <alignment horizontal="left" vertical="center" wrapText="1"/>
    </xf>
    <xf numFmtId="0" fontId="7" fillId="10" borderId="0" xfId="0" applyFont="1" applyFill="1" applyAlignment="1">
      <alignment vertical="center"/>
    </xf>
    <xf numFmtId="0" fontId="20" fillId="10" borderId="0" xfId="0" applyFont="1" applyFill="1" applyAlignment="1">
      <alignment horizontal="left" vertical="center" wrapText="1"/>
    </xf>
    <xf numFmtId="0" fontId="25" fillId="0" borderId="44" xfId="0" applyFont="1" applyBorder="1"/>
    <xf numFmtId="0" fontId="12" fillId="0" borderId="44" xfId="0" applyFont="1" applyBorder="1"/>
    <xf numFmtId="0" fontId="7" fillId="0" borderId="44" xfId="0" applyFont="1" applyBorder="1"/>
    <xf numFmtId="0" fontId="10" fillId="6" borderId="44" xfId="0" applyFont="1" applyFill="1" applyBorder="1"/>
    <xf numFmtId="0" fontId="13" fillId="8" borderId="44" xfId="0" applyFont="1" applyFill="1" applyBorder="1"/>
    <xf numFmtId="9" fontId="10" fillId="6" borderId="44" xfId="0" applyNumberFormat="1" applyFont="1" applyFill="1" applyBorder="1"/>
    <xf numFmtId="9" fontId="7" fillId="8" borderId="44" xfId="0" applyNumberFormat="1" applyFont="1" applyFill="1" applyBorder="1"/>
    <xf numFmtId="0" fontId="7" fillId="0" borderId="44" xfId="0" applyFont="1" applyFill="1" applyBorder="1"/>
    <xf numFmtId="164" fontId="10" fillId="3" borderId="44" xfId="0" applyNumberFormat="1" applyFont="1" applyFill="1" applyBorder="1"/>
    <xf numFmtId="164" fontId="10" fillId="0" borderId="44" xfId="0" applyNumberFormat="1" applyFont="1" applyBorder="1"/>
    <xf numFmtId="0" fontId="7" fillId="8" borderId="44" xfId="0" applyFont="1" applyFill="1" applyBorder="1"/>
    <xf numFmtId="2" fontId="10" fillId="0" borderId="44" xfId="0" applyNumberFormat="1" applyFont="1" applyBorder="1"/>
    <xf numFmtId="11" fontId="10" fillId="6" borderId="44" xfId="8" applyNumberFormat="1" applyFont="1" applyFill="1" applyBorder="1"/>
    <xf numFmtId="11" fontId="10" fillId="0" borderId="44" xfId="8" applyNumberFormat="1" applyFont="1" applyBorder="1"/>
    <xf numFmtId="11" fontId="15" fillId="0" borderId="44" xfId="8" applyNumberFormat="1" applyFont="1" applyBorder="1"/>
    <xf numFmtId="11" fontId="10" fillId="0" borderId="44" xfId="0" applyNumberFormat="1" applyFont="1" applyBorder="1"/>
    <xf numFmtId="0" fontId="10" fillId="0" borderId="44" xfId="0" applyFont="1" applyBorder="1"/>
    <xf numFmtId="41" fontId="10" fillId="6" borderId="44" xfId="8" applyNumberFormat="1" applyFont="1" applyFill="1" applyBorder="1"/>
    <xf numFmtId="11" fontId="6" fillId="0" borderId="44" xfId="8" applyNumberFormat="1" applyFont="1" applyBorder="1"/>
    <xf numFmtId="11" fontId="7" fillId="0" borderId="44" xfId="0" applyNumberFormat="1" applyFont="1" applyBorder="1"/>
    <xf numFmtId="11" fontId="7" fillId="0" borderId="44" xfId="8" applyNumberFormat="1" applyFont="1" applyFill="1" applyBorder="1"/>
    <xf numFmtId="11" fontId="7" fillId="7" borderId="44" xfId="0" applyNumberFormat="1" applyFont="1" applyFill="1" applyBorder="1"/>
    <xf numFmtId="11" fontId="7" fillId="0" borderId="44" xfId="0" applyNumberFormat="1" applyFont="1" applyFill="1" applyBorder="1"/>
    <xf numFmtId="11" fontId="7" fillId="7" borderId="44" xfId="8" applyNumberFormat="1" applyFont="1" applyFill="1" applyBorder="1"/>
    <xf numFmtId="9" fontId="7" fillId="0" borderId="44" xfId="9" applyFont="1" applyFill="1" applyBorder="1"/>
    <xf numFmtId="9" fontId="7" fillId="7" borderId="44" xfId="9" applyNumberFormat="1" applyFont="1" applyFill="1" applyBorder="1"/>
    <xf numFmtId="0" fontId="6" fillId="10" borderId="0" xfId="0" applyFont="1" applyFill="1" applyAlignment="1">
      <alignment horizontal="center" vertical="center" wrapText="1"/>
    </xf>
    <xf numFmtId="0" fontId="0" fillId="10" borderId="0" xfId="0" applyFill="1"/>
    <xf numFmtId="164" fontId="7" fillId="10" borderId="0" xfId="0" applyNumberFormat="1" applyFont="1" applyFill="1" applyAlignment="1">
      <alignment vertical="center"/>
    </xf>
    <xf numFmtId="164" fontId="7" fillId="10" borderId="0" xfId="0" quotePrefix="1" applyNumberFormat="1" applyFont="1" applyFill="1" applyAlignment="1">
      <alignment vertical="center"/>
    </xf>
    <xf numFmtId="0" fontId="24" fillId="10" borderId="0" xfId="0" applyFont="1" applyFill="1" applyAlignment="1">
      <alignment vertical="center"/>
    </xf>
    <xf numFmtId="164" fontId="21" fillId="10" borderId="0" xfId="0" applyNumberFormat="1" applyFont="1" applyFill="1" applyAlignment="1">
      <alignment vertical="center"/>
    </xf>
    <xf numFmtId="0" fontId="21" fillId="10" borderId="0" xfId="0" applyFont="1" applyFill="1" applyAlignment="1">
      <alignment vertical="center"/>
    </xf>
    <xf numFmtId="0" fontId="17" fillId="10" borderId="0" xfId="0" applyFont="1" applyFill="1" applyAlignment="1">
      <alignment vertical="center"/>
    </xf>
    <xf numFmtId="0" fontId="18" fillId="10" borderId="0" xfId="0" applyFont="1" applyFill="1" applyAlignment="1">
      <alignment horizontal="center" vertical="center"/>
    </xf>
    <xf numFmtId="0" fontId="18" fillId="10" borderId="0" xfId="0" applyFont="1" applyFill="1" applyAlignment="1">
      <alignment horizontal="center" vertical="center" wrapText="1"/>
    </xf>
    <xf numFmtId="0" fontId="11" fillId="10" borderId="0" xfId="0" applyFont="1" applyFill="1" applyBorder="1" applyAlignment="1">
      <alignment vertical="center"/>
    </xf>
    <xf numFmtId="0" fontId="19" fillId="10" borderId="0" xfId="1" applyFont="1" applyFill="1" applyBorder="1" applyAlignment="1">
      <alignment vertical="center"/>
    </xf>
    <xf numFmtId="164" fontId="17" fillId="10" borderId="0" xfId="0" applyNumberFormat="1" applyFont="1" applyFill="1" applyAlignment="1">
      <alignment vertical="center"/>
    </xf>
    <xf numFmtId="0" fontId="23" fillId="10" borderId="0" xfId="1" applyFont="1" applyFill="1" applyBorder="1" applyAlignment="1">
      <alignment vertical="center"/>
    </xf>
    <xf numFmtId="0" fontId="11" fillId="10" borderId="0" xfId="1" applyFont="1" applyFill="1" applyBorder="1" applyAlignment="1">
      <alignment vertical="center"/>
    </xf>
    <xf numFmtId="164" fontId="22" fillId="10" borderId="3" xfId="0" applyNumberFormat="1" applyFont="1" applyFill="1" applyBorder="1" applyAlignment="1">
      <alignment horizontal="center" vertical="center"/>
    </xf>
    <xf numFmtId="0" fontId="27" fillId="10" borderId="0" xfId="0" applyFont="1" applyFill="1" applyAlignment="1">
      <alignment horizontal="center" vertical="center"/>
    </xf>
    <xf numFmtId="0" fontId="20" fillId="10" borderId="0" xfId="0" applyFont="1" applyFill="1" applyAlignment="1">
      <alignment horizontal="center" vertical="center"/>
    </xf>
    <xf numFmtId="164" fontId="41" fillId="10" borderId="0" xfId="0" applyNumberFormat="1" applyFont="1" applyFill="1" applyAlignment="1">
      <alignment vertical="center"/>
    </xf>
    <xf numFmtId="0" fontId="32" fillId="10" borderId="0" xfId="1" applyFont="1" applyFill="1" applyBorder="1" applyAlignment="1">
      <alignment vertical="center"/>
    </xf>
    <xf numFmtId="0" fontId="23" fillId="10" borderId="0" xfId="1" applyFont="1" applyFill="1" applyBorder="1" applyAlignment="1">
      <alignment horizontal="center" vertical="center" wrapText="1"/>
    </xf>
    <xf numFmtId="0" fontId="0" fillId="10" borderId="0" xfId="0" applyFill="1" applyAlignment="1">
      <alignment vertical="center"/>
    </xf>
    <xf numFmtId="0" fontId="0" fillId="10" borderId="0" xfId="0" applyFill="1" applyAlignment="1">
      <alignment horizontal="center" vertical="center"/>
    </xf>
    <xf numFmtId="0" fontId="22" fillId="10" borderId="0" xfId="0" applyFont="1" applyFill="1" applyAlignment="1">
      <alignment vertical="center"/>
    </xf>
    <xf numFmtId="0" fontId="22" fillId="10" borderId="0" xfId="0" applyFont="1" applyFill="1" applyAlignment="1">
      <alignment horizontal="center" vertical="center"/>
    </xf>
    <xf numFmtId="0" fontId="7" fillId="10" borderId="0" xfId="0" applyFont="1" applyFill="1" applyBorder="1" applyAlignment="1">
      <alignment vertical="center" wrapText="1"/>
    </xf>
    <xf numFmtId="0" fontId="1" fillId="10" borderId="0" xfId="11" applyFill="1"/>
    <xf numFmtId="0" fontId="20" fillId="10" borderId="0" xfId="11" applyFont="1" applyFill="1" applyAlignment="1">
      <alignment horizontal="left" vertical="center" wrapText="1"/>
    </xf>
    <xf numFmtId="0" fontId="7" fillId="10" borderId="0" xfId="11" applyFont="1" applyFill="1"/>
    <xf numFmtId="0" fontId="26" fillId="0" borderId="44" xfId="11" applyFont="1" applyBorder="1" applyAlignment="1">
      <alignment wrapText="1"/>
    </xf>
    <xf numFmtId="0" fontId="25" fillId="0" borderId="44" xfId="11" applyFont="1" applyBorder="1"/>
    <xf numFmtId="0" fontId="12" fillId="0" borderId="44" xfId="11" applyFont="1" applyBorder="1"/>
    <xf numFmtId="0" fontId="7" fillId="0" borderId="44" xfId="11" applyFont="1" applyBorder="1"/>
    <xf numFmtId="0" fontId="10" fillId="0" borderId="44" xfId="11" applyFont="1" applyBorder="1"/>
    <xf numFmtId="9" fontId="10" fillId="6" borderId="44" xfId="11" applyNumberFormat="1" applyFont="1" applyFill="1" applyBorder="1"/>
    <xf numFmtId="164" fontId="10" fillId="3" borderId="44" xfId="11" applyNumberFormat="1" applyFont="1" applyFill="1" applyBorder="1"/>
    <xf numFmtId="164" fontId="10" fillId="0" borderId="44" xfId="11" applyNumberFormat="1" applyFont="1" applyBorder="1"/>
    <xf numFmtId="2" fontId="10" fillId="0" borderId="44" xfId="11" applyNumberFormat="1" applyFont="1" applyBorder="1"/>
    <xf numFmtId="41" fontId="10" fillId="6" borderId="44" xfId="12" applyNumberFormat="1" applyFont="1" applyFill="1" applyBorder="1"/>
    <xf numFmtId="41" fontId="10" fillId="0" borderId="44" xfId="12" applyNumberFormat="1" applyFont="1" applyFill="1" applyBorder="1"/>
    <xf numFmtId="11" fontId="10" fillId="0" borderId="44" xfId="12" applyNumberFormat="1" applyFont="1" applyBorder="1"/>
    <xf numFmtId="11" fontId="7" fillId="0" borderId="44" xfId="11" applyNumberFormat="1" applyFont="1" applyBorder="1"/>
    <xf numFmtId="11" fontId="7" fillId="7" borderId="44" xfId="11" applyNumberFormat="1" applyFont="1" applyFill="1" applyBorder="1"/>
    <xf numFmtId="11" fontId="7" fillId="7" borderId="44" xfId="12" applyNumberFormat="1" applyFont="1" applyFill="1" applyBorder="1"/>
    <xf numFmtId="9" fontId="7" fillId="7" borderId="44" xfId="13" applyFont="1" applyFill="1" applyBorder="1"/>
    <xf numFmtId="0" fontId="42" fillId="10" borderId="0" xfId="11" applyFont="1" applyFill="1"/>
    <xf numFmtId="0" fontId="5" fillId="10" borderId="0" xfId="0" applyFont="1" applyFill="1" applyAlignment="1">
      <alignment vertical="center" wrapText="1"/>
    </xf>
    <xf numFmtId="0" fontId="5" fillId="10" borderId="0" xfId="0" applyFont="1" applyFill="1" applyAlignment="1">
      <alignment horizontal="center" vertical="center" wrapText="1"/>
    </xf>
    <xf numFmtId="0" fontId="1" fillId="10" borderId="0" xfId="11" applyFill="1" applyAlignment="1">
      <alignment wrapText="1"/>
    </xf>
    <xf numFmtId="0" fontId="5" fillId="10" borderId="0" xfId="11" applyFont="1" applyFill="1" applyAlignment="1">
      <alignment vertical="center" wrapText="1"/>
    </xf>
    <xf numFmtId="0" fontId="7" fillId="10" borderId="0" xfId="11" applyFont="1" applyFill="1" applyAlignment="1">
      <alignment vertical="center" wrapText="1"/>
    </xf>
    <xf numFmtId="0" fontId="7" fillId="10" borderId="0" xfId="11" applyFont="1" applyFill="1" applyAlignment="1">
      <alignment wrapText="1"/>
    </xf>
    <xf numFmtId="0" fontId="42" fillId="10" borderId="0" xfId="11" applyFont="1" applyFill="1" applyAlignment="1">
      <alignment vertical="center"/>
    </xf>
    <xf numFmtId="0" fontId="20" fillId="10" borderId="0" xfId="11" applyFont="1" applyFill="1" applyAlignment="1">
      <alignment vertical="center"/>
    </xf>
    <xf numFmtId="0" fontId="42" fillId="10" borderId="19" xfId="11" applyFont="1" applyFill="1" applyBorder="1"/>
    <xf numFmtId="0" fontId="43" fillId="10" borderId="20" xfId="11" applyFont="1" applyFill="1" applyBorder="1"/>
    <xf numFmtId="0" fontId="44" fillId="10" borderId="20" xfId="11" applyFont="1" applyFill="1" applyBorder="1"/>
    <xf numFmtId="0" fontId="42" fillId="10" borderId="20" xfId="11" applyFont="1" applyFill="1" applyBorder="1"/>
    <xf numFmtId="0" fontId="42" fillId="10" borderId="2" xfId="11" applyFont="1" applyFill="1" applyBorder="1"/>
    <xf numFmtId="0" fontId="42" fillId="10" borderId="21" xfId="11" applyFont="1" applyFill="1" applyBorder="1"/>
    <xf numFmtId="0" fontId="42" fillId="10" borderId="22" xfId="11" applyFont="1" applyFill="1" applyBorder="1"/>
    <xf numFmtId="0" fontId="45" fillId="10" borderId="21" xfId="11" applyFont="1" applyFill="1" applyBorder="1"/>
    <xf numFmtId="0" fontId="45" fillId="10" borderId="0" xfId="11" applyFont="1" applyFill="1"/>
    <xf numFmtId="0" fontId="46" fillId="10" borderId="0" xfId="11" applyFont="1" applyFill="1"/>
    <xf numFmtId="0" fontId="42" fillId="10" borderId="22" xfId="11" applyFont="1" applyFill="1" applyBorder="1" applyAlignment="1">
      <alignment vertical="center"/>
    </xf>
    <xf numFmtId="0" fontId="42" fillId="10" borderId="23" xfId="11" applyFont="1" applyFill="1" applyBorder="1"/>
    <xf numFmtId="0" fontId="42" fillId="10" borderId="21" xfId="11" applyFont="1" applyFill="1" applyBorder="1" applyAlignment="1">
      <alignment vertical="center"/>
    </xf>
    <xf numFmtId="0" fontId="42" fillId="10" borderId="24" xfId="11" applyFont="1" applyFill="1" applyBorder="1"/>
    <xf numFmtId="0" fontId="42" fillId="10" borderId="3" xfId="11" applyFont="1" applyFill="1" applyBorder="1"/>
    <xf numFmtId="0" fontId="24" fillId="10" borderId="0" xfId="11" applyFont="1" applyFill="1" applyAlignment="1">
      <alignment vertical="center"/>
    </xf>
    <xf numFmtId="164" fontId="21" fillId="10" borderId="0" xfId="11" applyNumberFormat="1" applyFont="1" applyFill="1" applyAlignment="1">
      <alignment vertical="center"/>
    </xf>
    <xf numFmtId="0" fontId="21" fillId="10" borderId="0" xfId="11" applyFont="1" applyFill="1" applyAlignment="1">
      <alignment vertical="center"/>
    </xf>
    <xf numFmtId="0" fontId="48" fillId="10" borderId="0" xfId="11" applyFont="1" applyFill="1" applyAlignment="1">
      <alignment vertical="center"/>
    </xf>
    <xf numFmtId="0" fontId="30" fillId="10" borderId="0" xfId="11" applyFont="1" applyFill="1"/>
    <xf numFmtId="0" fontId="1" fillId="10" borderId="0" xfId="11" applyFill="1" applyAlignment="1">
      <alignment horizontal="left" wrapText="1"/>
    </xf>
    <xf numFmtId="0" fontId="7" fillId="0" borderId="0" xfId="0" applyFont="1" applyBorder="1" applyAlignment="1">
      <alignment horizontal="left" vertical="center" wrapText="1"/>
    </xf>
    <xf numFmtId="0" fontId="26" fillId="0" borderId="45" xfId="0" applyFont="1" applyBorder="1" applyAlignment="1">
      <alignment wrapText="1"/>
    </xf>
    <xf numFmtId="0" fontId="25" fillId="0" borderId="45" xfId="0" applyFont="1" applyBorder="1"/>
    <xf numFmtId="0" fontId="12" fillId="0" borderId="45" xfId="0" applyFont="1" applyBorder="1"/>
    <xf numFmtId="0" fontId="7" fillId="0" borderId="46" xfId="0" applyFont="1" applyFill="1" applyBorder="1" applyAlignment="1">
      <alignment horizontal="left" vertical="center" wrapText="1"/>
    </xf>
    <xf numFmtId="0" fontId="7" fillId="0" borderId="47" xfId="0" applyFont="1" applyFill="1" applyBorder="1" applyAlignment="1">
      <alignment horizontal="left" vertical="center" wrapText="1"/>
    </xf>
    <xf numFmtId="0" fontId="7" fillId="0" borderId="48" xfId="0" applyFont="1" applyFill="1" applyBorder="1" applyAlignment="1">
      <alignment horizontal="left" vertical="center" wrapText="1"/>
    </xf>
  </cellXfs>
  <cellStyles count="15">
    <cellStyle name="Comma" xfId="8" builtinId="3"/>
    <cellStyle name="Comma 2" xfId="5" xr:uid="{00000000-0005-0000-0000-000000000000}"/>
    <cellStyle name="Comma 3" xfId="12" xr:uid="{8DD711CA-A2A7-4CF4-A602-4A6D3864CD20}"/>
    <cellStyle name="Normal" xfId="0" builtinId="0"/>
    <cellStyle name="Normal 2" xfId="1" xr:uid="{00000000-0005-0000-0000-000002000000}"/>
    <cellStyle name="Normal 2 2" xfId="6" xr:uid="{00000000-0005-0000-0000-000003000000}"/>
    <cellStyle name="Normal 2 3" xfId="10" xr:uid="{71FD6C59-EEE9-440F-A799-89F3215468C5}"/>
    <cellStyle name="Normal 2 4" xfId="14" xr:uid="{9E791F2F-155F-456B-98B3-A39086D5D7C3}"/>
    <cellStyle name="Normal 3" xfId="3" xr:uid="{00000000-0005-0000-0000-000004000000}"/>
    <cellStyle name="Normal 4" xfId="11" xr:uid="{A98566C6-330F-431A-BC1F-A82C572CC37B}"/>
    <cellStyle name="Percent" xfId="9" builtinId="5"/>
    <cellStyle name="Percent 2" xfId="2" xr:uid="{00000000-0005-0000-0000-000005000000}"/>
    <cellStyle name="Percent 2 2" xfId="7" xr:uid="{00000000-0005-0000-0000-000006000000}"/>
    <cellStyle name="Percent 3" xfId="4" xr:uid="{00000000-0005-0000-0000-000007000000}"/>
    <cellStyle name="Percent 4" xfId="13" xr:uid="{2E804767-6A5E-4B4A-B238-CA6AB52BA297}"/>
  </cellStyles>
  <dxfs count="3">
    <dxf>
      <fill>
        <patternFill>
          <bgColor rgb="FFFF0000"/>
        </patternFill>
      </fill>
    </dxf>
    <dxf>
      <font>
        <color rgb="FF9C0006"/>
      </font>
      <fill>
        <patternFill>
          <bgColor rgb="FFFFC7CE"/>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FF"/>
      <color rgb="FF00FF00"/>
      <color rgb="FF008000"/>
      <color rgb="FFFF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owerPivotData" Target="model/item.data"/><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177890</xdr:colOff>
      <xdr:row>2</xdr:row>
      <xdr:rowOff>28576</xdr:rowOff>
    </xdr:from>
    <xdr:to>
      <xdr:col>10</xdr:col>
      <xdr:colOff>594360</xdr:colOff>
      <xdr:row>24</xdr:row>
      <xdr:rowOff>7817</xdr:rowOff>
    </xdr:to>
    <xdr:pic>
      <xdr:nvPicPr>
        <xdr:cNvPr id="2" name="Picture 1">
          <a:extLst>
            <a:ext uri="{FF2B5EF4-FFF2-40B4-BE49-F238E27FC236}">
              <a16:creationId xmlns:a16="http://schemas.microsoft.com/office/drawing/2014/main" id="{8A6566B7-7A27-4941-8993-8D8120049F52}"/>
            </a:ext>
          </a:extLst>
        </xdr:cNvPr>
        <xdr:cNvPicPr>
          <a:picLocks noChangeAspect="1"/>
        </xdr:cNvPicPr>
      </xdr:nvPicPr>
      <xdr:blipFill>
        <a:blip xmlns:r="http://schemas.openxmlformats.org/officeDocument/2006/relationships" r:embed="rId1"/>
        <a:stretch>
          <a:fillRect/>
        </a:stretch>
      </xdr:blipFill>
      <xdr:spPr>
        <a:xfrm>
          <a:off x="177890" y="363856"/>
          <a:ext cx="6512470" cy="3667321"/>
        </a:xfrm>
        <a:prstGeom prst="rect">
          <a:avLst/>
        </a:prstGeom>
        <a:ln w="28575">
          <a:solidFill>
            <a:schemeClr val="tx1"/>
          </a:solidFill>
        </a:ln>
      </xdr:spPr>
    </xdr:pic>
    <xdr:clientData/>
  </xdr:twoCellAnchor>
  <xdr:twoCellAnchor editAs="oneCell">
    <xdr:from>
      <xdr:col>11</xdr:col>
      <xdr:colOff>160020</xdr:colOff>
      <xdr:row>2</xdr:row>
      <xdr:rowOff>15240</xdr:rowOff>
    </xdr:from>
    <xdr:to>
      <xdr:col>22</xdr:col>
      <xdr:colOff>38100</xdr:colOff>
      <xdr:row>24</xdr:row>
      <xdr:rowOff>30480</xdr:rowOff>
    </xdr:to>
    <xdr:pic>
      <xdr:nvPicPr>
        <xdr:cNvPr id="4" name="Picture 3">
          <a:extLst>
            <a:ext uri="{FF2B5EF4-FFF2-40B4-BE49-F238E27FC236}">
              <a16:creationId xmlns:a16="http://schemas.microsoft.com/office/drawing/2014/main" id="{57D1F710-0D3D-4FC1-808C-A53E26576CBD}"/>
            </a:ext>
          </a:extLst>
        </xdr:cNvPr>
        <xdr:cNvPicPr>
          <a:picLocks noChangeAspect="1"/>
        </xdr:cNvPicPr>
      </xdr:nvPicPr>
      <xdr:blipFill>
        <a:blip xmlns:r="http://schemas.openxmlformats.org/officeDocument/2006/relationships" r:embed="rId2"/>
        <a:stretch>
          <a:fillRect/>
        </a:stretch>
      </xdr:blipFill>
      <xdr:spPr>
        <a:xfrm>
          <a:off x="6865620" y="350520"/>
          <a:ext cx="6583680" cy="3703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127634</xdr:colOff>
      <xdr:row>1</xdr:row>
      <xdr:rowOff>53816</xdr:rowOff>
    </xdr:from>
    <xdr:to>
      <xdr:col>11</xdr:col>
      <xdr:colOff>165735</xdr:colOff>
      <xdr:row>24</xdr:row>
      <xdr:rowOff>6668</xdr:rowOff>
    </xdr:to>
    <xdr:pic>
      <xdr:nvPicPr>
        <xdr:cNvPr id="2" name="Picture 1">
          <a:extLst>
            <a:ext uri="{FF2B5EF4-FFF2-40B4-BE49-F238E27FC236}">
              <a16:creationId xmlns:a16="http://schemas.microsoft.com/office/drawing/2014/main" id="{B55A9B6D-8151-4E85-A643-647C45345F21}"/>
            </a:ext>
          </a:extLst>
        </xdr:cNvPr>
        <xdr:cNvPicPr>
          <a:picLocks noChangeAspect="1"/>
        </xdr:cNvPicPr>
      </xdr:nvPicPr>
      <xdr:blipFill>
        <a:blip xmlns:r="http://schemas.openxmlformats.org/officeDocument/2006/relationships" r:embed="rId1"/>
        <a:stretch>
          <a:fillRect/>
        </a:stretch>
      </xdr:blipFill>
      <xdr:spPr>
        <a:xfrm>
          <a:off x="127634" y="215741"/>
          <a:ext cx="6743701" cy="3667602"/>
        </a:xfrm>
        <a:prstGeom prst="rect">
          <a:avLst/>
        </a:prstGeom>
        <a:ln w="28575">
          <a:solidFill>
            <a:schemeClr val="tx1"/>
          </a:solidFill>
        </a:ln>
      </xdr:spPr>
    </xdr:pic>
    <xdr:clientData/>
  </xdr:twoCellAnchor>
  <xdr:twoCellAnchor editAs="oneCell">
    <xdr:from>
      <xdr:col>11</xdr:col>
      <xdr:colOff>205739</xdr:colOff>
      <xdr:row>1</xdr:row>
      <xdr:rowOff>0</xdr:rowOff>
    </xdr:from>
    <xdr:to>
      <xdr:col>22</xdr:col>
      <xdr:colOff>463126</xdr:colOff>
      <xdr:row>24</xdr:row>
      <xdr:rowOff>76200</xdr:rowOff>
    </xdr:to>
    <xdr:pic>
      <xdr:nvPicPr>
        <xdr:cNvPr id="5" name="Picture 4">
          <a:extLst>
            <a:ext uri="{FF2B5EF4-FFF2-40B4-BE49-F238E27FC236}">
              <a16:creationId xmlns:a16="http://schemas.microsoft.com/office/drawing/2014/main" id="{6B596F2C-2BC3-4C7D-9A67-6132A575FCB7}"/>
            </a:ext>
          </a:extLst>
        </xdr:cNvPr>
        <xdr:cNvPicPr>
          <a:picLocks noChangeAspect="1"/>
        </xdr:cNvPicPr>
      </xdr:nvPicPr>
      <xdr:blipFill>
        <a:blip xmlns:r="http://schemas.openxmlformats.org/officeDocument/2006/relationships" r:embed="rId2"/>
        <a:stretch>
          <a:fillRect/>
        </a:stretch>
      </xdr:blipFill>
      <xdr:spPr>
        <a:xfrm>
          <a:off x="6911339" y="161925"/>
          <a:ext cx="6962987" cy="3790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91439</xdr:colOff>
      <xdr:row>0</xdr:row>
      <xdr:rowOff>97155</xdr:rowOff>
    </xdr:from>
    <xdr:to>
      <xdr:col>11</xdr:col>
      <xdr:colOff>77892</xdr:colOff>
      <xdr:row>23</xdr:row>
      <xdr:rowOff>11430</xdr:rowOff>
    </xdr:to>
    <xdr:pic>
      <xdr:nvPicPr>
        <xdr:cNvPr id="2" name="Picture 1">
          <a:extLst>
            <a:ext uri="{FF2B5EF4-FFF2-40B4-BE49-F238E27FC236}">
              <a16:creationId xmlns:a16="http://schemas.microsoft.com/office/drawing/2014/main" id="{EF322C03-87F1-4F54-9D2C-0132D57C7E40}"/>
            </a:ext>
          </a:extLst>
        </xdr:cNvPr>
        <xdr:cNvPicPr>
          <a:picLocks noChangeAspect="1"/>
        </xdr:cNvPicPr>
      </xdr:nvPicPr>
      <xdr:blipFill>
        <a:blip xmlns:r="http://schemas.openxmlformats.org/officeDocument/2006/relationships" r:embed="rId1"/>
        <a:stretch>
          <a:fillRect/>
        </a:stretch>
      </xdr:blipFill>
      <xdr:spPr>
        <a:xfrm>
          <a:off x="91439" y="97155"/>
          <a:ext cx="6692053" cy="3638550"/>
        </a:xfrm>
        <a:prstGeom prst="rect">
          <a:avLst/>
        </a:prstGeom>
        <a:ln w="28575">
          <a:solidFill>
            <a:schemeClr val="tx1"/>
          </a:solidFill>
        </a:ln>
      </xdr:spPr>
    </xdr:pic>
    <xdr:clientData/>
  </xdr:twoCellAnchor>
  <xdr:twoCellAnchor editAs="oneCell">
    <xdr:from>
      <xdr:col>11</xdr:col>
      <xdr:colOff>201930</xdr:colOff>
      <xdr:row>0</xdr:row>
      <xdr:rowOff>93345</xdr:rowOff>
    </xdr:from>
    <xdr:to>
      <xdr:col>22</xdr:col>
      <xdr:colOff>186034</xdr:colOff>
      <xdr:row>23</xdr:row>
      <xdr:rowOff>7620</xdr:rowOff>
    </xdr:to>
    <xdr:pic>
      <xdr:nvPicPr>
        <xdr:cNvPr id="4" name="Picture 3">
          <a:extLst>
            <a:ext uri="{FF2B5EF4-FFF2-40B4-BE49-F238E27FC236}">
              <a16:creationId xmlns:a16="http://schemas.microsoft.com/office/drawing/2014/main" id="{459A8222-F975-4D90-967E-32D3C5D03EB1}"/>
            </a:ext>
          </a:extLst>
        </xdr:cNvPr>
        <xdr:cNvPicPr>
          <a:picLocks noChangeAspect="1"/>
        </xdr:cNvPicPr>
      </xdr:nvPicPr>
      <xdr:blipFill>
        <a:blip xmlns:r="http://schemas.openxmlformats.org/officeDocument/2006/relationships" r:embed="rId2"/>
        <a:stretch>
          <a:fillRect/>
        </a:stretch>
      </xdr:blipFill>
      <xdr:spPr>
        <a:xfrm>
          <a:off x="6907530" y="93345"/>
          <a:ext cx="6689704" cy="36385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rian Riise" id="{400A19CC-1ACE-4862-8506-DED1911F4501}" userId="S::briise@remadeinstitute.org::78c969bf-c3df-4864-b394-ad1faecec47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1" dT="2018-12-31T15:39:21.68" personId="{400A19CC-1ACE-4862-8506-DED1911F4501}" id="{760A4D81-380A-45B8-B805-702D5A21CAFC}">
    <text>Material EE and CO2e data from Page 76 of UNEP (Table 8)</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12064-A251-43AC-93A0-125A441B3D6E}">
  <dimension ref="A1:O53"/>
  <sheetViews>
    <sheetView tabSelected="1" zoomScaleNormal="100" workbookViewId="0">
      <pane ySplit="4" topLeftCell="A5" activePane="bottomLeft" state="frozen"/>
      <selection pane="bottomLeft" activeCell="B2" sqref="B2:I2"/>
    </sheetView>
  </sheetViews>
  <sheetFormatPr defaultColWidth="0" defaultRowHeight="12.75" zeroHeight="1" x14ac:dyDescent="0.2"/>
  <cols>
    <col min="1" max="1" width="3.28515625" style="242" customWidth="1"/>
    <col min="2" max="2" width="14.5703125" style="1" customWidth="1"/>
    <col min="3" max="3" width="29.42578125" style="1" customWidth="1"/>
    <col min="4" max="7" width="16" style="1" customWidth="1"/>
    <col min="8" max="8" width="11.28515625" style="1" customWidth="1"/>
    <col min="9" max="9" width="19.28515625" style="1" customWidth="1"/>
    <col min="10" max="10" width="8.85546875" style="242" customWidth="1"/>
    <col min="11" max="15" width="0" style="1" hidden="1"/>
    <col min="16" max="16384" width="8.85546875" style="1" hidden="1"/>
  </cols>
  <sheetData>
    <row r="1" spans="2:15" s="242" customFormat="1" ht="10.9" customHeight="1" x14ac:dyDescent="0.2"/>
    <row r="2" spans="2:15" s="242" customFormat="1" ht="27.6" customHeight="1" x14ac:dyDescent="0.2">
      <c r="B2" s="246" t="s">
        <v>0</v>
      </c>
      <c r="C2" s="246"/>
      <c r="D2" s="246"/>
      <c r="E2" s="246"/>
      <c r="F2" s="246"/>
      <c r="G2" s="246"/>
      <c r="H2" s="246"/>
      <c r="I2" s="246"/>
    </row>
    <row r="3" spans="2:15" ht="51.4" customHeight="1" thickBot="1" x14ac:dyDescent="0.25">
      <c r="B3" s="348" t="s">
        <v>1</v>
      </c>
      <c r="C3" s="348"/>
      <c r="D3" s="348"/>
      <c r="E3" s="348"/>
      <c r="F3" s="348"/>
      <c r="G3" s="348"/>
      <c r="H3" s="348"/>
      <c r="I3" s="348"/>
    </row>
    <row r="4" spans="2:15" ht="78.75" customHeight="1" thickBot="1" x14ac:dyDescent="0.25">
      <c r="B4" s="352" t="s">
        <v>2</v>
      </c>
      <c r="C4" s="353"/>
      <c r="D4" s="353"/>
      <c r="E4" s="353"/>
      <c r="F4" s="353"/>
      <c r="G4" s="353"/>
      <c r="H4" s="353"/>
      <c r="I4" s="354"/>
    </row>
    <row r="5" spans="2:15" ht="39" customHeight="1" x14ac:dyDescent="0.2">
      <c r="B5" s="349" t="s">
        <v>3</v>
      </c>
      <c r="C5" s="350" t="s">
        <v>4</v>
      </c>
      <c r="D5" s="351" t="s">
        <v>5</v>
      </c>
      <c r="E5" s="351" t="s">
        <v>6</v>
      </c>
      <c r="F5" s="351" t="s">
        <v>7</v>
      </c>
      <c r="G5" s="351" t="s">
        <v>8</v>
      </c>
      <c r="H5" s="351" t="s">
        <v>9</v>
      </c>
      <c r="I5" s="351" t="s">
        <v>10</v>
      </c>
    </row>
    <row r="6" spans="2:15" ht="15" customHeight="1" x14ac:dyDescent="0.2">
      <c r="B6" s="249"/>
      <c r="C6" s="249" t="s">
        <v>11</v>
      </c>
      <c r="D6" s="250" t="s">
        <v>12</v>
      </c>
      <c r="E6" s="250" t="s">
        <v>6</v>
      </c>
      <c r="F6" s="250" t="s">
        <v>7</v>
      </c>
      <c r="G6" s="250" t="s">
        <v>8</v>
      </c>
      <c r="H6" s="251"/>
      <c r="I6" s="249"/>
    </row>
    <row r="7" spans="2:15" ht="15" customHeight="1" x14ac:dyDescent="0.2">
      <c r="B7" s="249"/>
      <c r="C7" s="249" t="s">
        <v>13</v>
      </c>
      <c r="D7" s="252"/>
      <c r="E7" s="252"/>
      <c r="F7" s="252">
        <v>0</v>
      </c>
      <c r="G7" s="252">
        <v>0</v>
      </c>
      <c r="H7" s="253"/>
      <c r="I7" s="249"/>
    </row>
    <row r="8" spans="2:15" ht="15" customHeight="1" x14ac:dyDescent="0.2">
      <c r="B8" s="249"/>
      <c r="C8" s="249" t="s">
        <v>14</v>
      </c>
      <c r="D8" s="252">
        <v>1</v>
      </c>
      <c r="E8" s="252">
        <v>1</v>
      </c>
      <c r="F8" s="252">
        <v>1</v>
      </c>
      <c r="G8" s="252">
        <v>1</v>
      </c>
      <c r="H8" s="253"/>
      <c r="I8" s="249"/>
    </row>
    <row r="9" spans="2:15" ht="15" customHeight="1" x14ac:dyDescent="0.2">
      <c r="B9" s="249"/>
      <c r="C9" s="254" t="s">
        <v>15</v>
      </c>
      <c r="D9" s="255"/>
      <c r="E9" s="255"/>
      <c r="F9" s="255"/>
      <c r="G9" s="255"/>
      <c r="H9" s="253"/>
      <c r="I9" s="249" t="s">
        <v>16</v>
      </c>
    </row>
    <row r="10" spans="2:15" ht="15" customHeight="1" x14ac:dyDescent="0.2">
      <c r="B10" s="249"/>
      <c r="C10" s="254" t="s">
        <v>17</v>
      </c>
      <c r="D10" s="255"/>
      <c r="E10" s="255"/>
      <c r="F10" s="255"/>
      <c r="G10" s="255"/>
      <c r="H10" s="253"/>
      <c r="I10" s="249" t="s">
        <v>16</v>
      </c>
    </row>
    <row r="11" spans="2:15" ht="15" customHeight="1" x14ac:dyDescent="0.3">
      <c r="B11" s="249"/>
      <c r="C11" s="254" t="s">
        <v>18</v>
      </c>
      <c r="D11" s="255"/>
      <c r="E11" s="255"/>
      <c r="F11" s="255"/>
      <c r="G11" s="255"/>
      <c r="H11" s="253"/>
      <c r="I11" s="249" t="s">
        <v>19</v>
      </c>
    </row>
    <row r="12" spans="2:15" ht="15" customHeight="1" x14ac:dyDescent="0.3">
      <c r="B12" s="249"/>
      <c r="C12" s="254" t="s">
        <v>20</v>
      </c>
      <c r="D12" s="255"/>
      <c r="E12" s="255"/>
      <c r="F12" s="255"/>
      <c r="G12" s="255"/>
      <c r="H12" s="253"/>
      <c r="I12" s="249" t="s">
        <v>19</v>
      </c>
    </row>
    <row r="13" spans="2:15" ht="15" customHeight="1" x14ac:dyDescent="0.2">
      <c r="B13" s="249"/>
      <c r="C13" s="249" t="s">
        <v>21</v>
      </c>
      <c r="D13" s="256">
        <f>((1-D$7)*D9+D$7*D10)/D$8</f>
        <v>0</v>
      </c>
      <c r="E13" s="256">
        <f t="shared" ref="E13:G13" si="0">((1-E$7)*E9+E$7*E10)/E$8</f>
        <v>0</v>
      </c>
      <c r="F13" s="256">
        <f t="shared" si="0"/>
        <v>0</v>
      </c>
      <c r="G13" s="256">
        <f t="shared" si="0"/>
        <v>0</v>
      </c>
      <c r="H13" s="257"/>
      <c r="I13" s="249" t="s">
        <v>16</v>
      </c>
    </row>
    <row r="14" spans="2:15" ht="15" customHeight="1" x14ac:dyDescent="0.3">
      <c r="B14" s="249"/>
      <c r="C14" s="249" t="s">
        <v>22</v>
      </c>
      <c r="D14" s="258">
        <f>((1-D$7)*D11+D$7*D12)/D$8</f>
        <v>0</v>
      </c>
      <c r="E14" s="258">
        <f t="shared" ref="E14:G14" si="1">((1-E$7)*E11+E$7*E12)/E$8</f>
        <v>0</v>
      </c>
      <c r="F14" s="258">
        <f t="shared" si="1"/>
        <v>0</v>
      </c>
      <c r="G14" s="258">
        <f t="shared" si="1"/>
        <v>0</v>
      </c>
      <c r="H14" s="257"/>
      <c r="I14" s="249" t="s">
        <v>23</v>
      </c>
      <c r="O14" s="71"/>
    </row>
    <row r="15" spans="2:15" ht="15" customHeight="1" x14ac:dyDescent="0.2">
      <c r="B15" s="249"/>
      <c r="C15" s="249" t="s">
        <v>24</v>
      </c>
      <c r="D15" s="259"/>
      <c r="E15" s="259"/>
      <c r="F15" s="250">
        <v>0</v>
      </c>
      <c r="G15" s="250">
        <v>0</v>
      </c>
      <c r="H15" s="257"/>
      <c r="I15" s="249" t="s">
        <v>25</v>
      </c>
    </row>
    <row r="16" spans="2:15" ht="15" customHeight="1" x14ac:dyDescent="0.2">
      <c r="B16" s="249"/>
      <c r="C16" s="249" t="s">
        <v>26</v>
      </c>
      <c r="D16" s="260">
        <f>D13*D15*1000</f>
        <v>0</v>
      </c>
      <c r="E16" s="260">
        <f t="shared" ref="E16:G16" si="2">E13*E15*1000</f>
        <v>0</v>
      </c>
      <c r="F16" s="260">
        <f t="shared" si="2"/>
        <v>0</v>
      </c>
      <c r="G16" s="260">
        <f t="shared" si="2"/>
        <v>0</v>
      </c>
      <c r="H16" s="261">
        <f>SUM(D16:G16)</f>
        <v>0</v>
      </c>
      <c r="I16" s="254" t="s">
        <v>27</v>
      </c>
    </row>
    <row r="17" spans="2:9" ht="15" customHeight="1" x14ac:dyDescent="0.3">
      <c r="B17" s="249"/>
      <c r="C17" s="249" t="s">
        <v>28</v>
      </c>
      <c r="D17" s="260">
        <f>D14*D15</f>
        <v>0</v>
      </c>
      <c r="E17" s="262">
        <f t="shared" ref="E17:G17" si="3">E14*E15</f>
        <v>0</v>
      </c>
      <c r="F17" s="262">
        <f t="shared" si="3"/>
        <v>0</v>
      </c>
      <c r="G17" s="262">
        <f t="shared" si="3"/>
        <v>0</v>
      </c>
      <c r="H17" s="261">
        <f>SUM(D17:G17)</f>
        <v>0</v>
      </c>
      <c r="I17" s="254" t="s">
        <v>29</v>
      </c>
    </row>
    <row r="18" spans="2:9" ht="15" customHeight="1" x14ac:dyDescent="0.2">
      <c r="B18" s="249"/>
      <c r="C18" s="249"/>
      <c r="D18" s="263"/>
      <c r="E18" s="263"/>
      <c r="F18" s="263"/>
      <c r="G18" s="263"/>
      <c r="H18" s="249"/>
      <c r="I18" s="249"/>
    </row>
    <row r="19" spans="2:9" ht="15" customHeight="1" x14ac:dyDescent="0.2">
      <c r="B19" s="249"/>
      <c r="C19" s="247" t="s">
        <v>30</v>
      </c>
      <c r="D19" s="248" t="s">
        <v>5</v>
      </c>
      <c r="E19" s="248" t="s">
        <v>6</v>
      </c>
      <c r="F19" s="248" t="s">
        <v>7</v>
      </c>
      <c r="G19" s="248" t="s">
        <v>8</v>
      </c>
      <c r="H19" s="249"/>
      <c r="I19" s="249"/>
    </row>
    <row r="20" spans="2:9" ht="15" customHeight="1" x14ac:dyDescent="0.2">
      <c r="B20" s="249"/>
      <c r="C20" s="249" t="s">
        <v>11</v>
      </c>
      <c r="D20" s="250" t="s">
        <v>5</v>
      </c>
      <c r="E20" s="250" t="s">
        <v>6</v>
      </c>
      <c r="F20" s="250" t="s">
        <v>7</v>
      </c>
      <c r="G20" s="250" t="s">
        <v>8</v>
      </c>
      <c r="H20" s="251"/>
      <c r="I20" s="249"/>
    </row>
    <row r="21" spans="2:9" ht="15" customHeight="1" x14ac:dyDescent="0.2">
      <c r="B21" s="249"/>
      <c r="C21" s="249" t="s">
        <v>13</v>
      </c>
      <c r="D21" s="252"/>
      <c r="E21" s="252"/>
      <c r="F21" s="252">
        <v>0</v>
      </c>
      <c r="G21" s="252">
        <v>0</v>
      </c>
      <c r="H21" s="257"/>
      <c r="I21" s="249"/>
    </row>
    <row r="22" spans="2:9" ht="15" customHeight="1" x14ac:dyDescent="0.2">
      <c r="B22" s="249"/>
      <c r="C22" s="249" t="s">
        <v>14</v>
      </c>
      <c r="D22" s="252">
        <v>1</v>
      </c>
      <c r="E22" s="252">
        <v>1</v>
      </c>
      <c r="F22" s="252">
        <v>1</v>
      </c>
      <c r="G22" s="252">
        <v>1</v>
      </c>
      <c r="H22" s="253"/>
      <c r="I22" s="249"/>
    </row>
    <row r="23" spans="2:9" ht="15" customHeight="1" x14ac:dyDescent="0.2">
      <c r="B23" s="249"/>
      <c r="C23" s="254" t="s">
        <v>15</v>
      </c>
      <c r="D23" s="255"/>
      <c r="E23" s="255"/>
      <c r="F23" s="255"/>
      <c r="G23" s="255"/>
      <c r="H23" s="253"/>
      <c r="I23" s="249" t="s">
        <v>16</v>
      </c>
    </row>
    <row r="24" spans="2:9" ht="15" customHeight="1" x14ac:dyDescent="0.2">
      <c r="B24" s="249"/>
      <c r="C24" s="254" t="s">
        <v>17</v>
      </c>
      <c r="D24" s="255"/>
      <c r="E24" s="255"/>
      <c r="F24" s="255"/>
      <c r="G24" s="255"/>
      <c r="H24" s="253"/>
      <c r="I24" s="249" t="s">
        <v>16</v>
      </c>
    </row>
    <row r="25" spans="2:9" ht="15" customHeight="1" x14ac:dyDescent="0.3">
      <c r="B25" s="249"/>
      <c r="C25" s="254" t="s">
        <v>18</v>
      </c>
      <c r="D25" s="255"/>
      <c r="E25" s="255"/>
      <c r="F25" s="255"/>
      <c r="G25" s="255"/>
      <c r="H25" s="253"/>
      <c r="I25" s="249" t="s">
        <v>19</v>
      </c>
    </row>
    <row r="26" spans="2:9" ht="15" customHeight="1" x14ac:dyDescent="0.3">
      <c r="B26" s="249"/>
      <c r="C26" s="254" t="s">
        <v>20</v>
      </c>
      <c r="D26" s="255"/>
      <c r="E26" s="255"/>
      <c r="F26" s="255"/>
      <c r="G26" s="255"/>
      <c r="H26" s="253"/>
      <c r="I26" s="249" t="s">
        <v>19</v>
      </c>
    </row>
    <row r="27" spans="2:9" ht="15" customHeight="1" x14ac:dyDescent="0.2">
      <c r="B27" s="249"/>
      <c r="C27" s="249" t="s">
        <v>21</v>
      </c>
      <c r="D27" s="256">
        <f>((1-D21)*D23+D21*D24)/D22</f>
        <v>0</v>
      </c>
      <c r="E27" s="256">
        <f t="shared" ref="E27:G27" si="4">((1-E21)*E23+E21*E24)/E22</f>
        <v>0</v>
      </c>
      <c r="F27" s="256">
        <f t="shared" si="4"/>
        <v>0</v>
      </c>
      <c r="G27" s="256">
        <f t="shared" si="4"/>
        <v>0</v>
      </c>
      <c r="H27" s="253"/>
      <c r="I27" s="249" t="s">
        <v>16</v>
      </c>
    </row>
    <row r="28" spans="2:9" ht="15" customHeight="1" x14ac:dyDescent="0.2">
      <c r="B28" s="249"/>
      <c r="C28" s="249" t="s">
        <v>31</v>
      </c>
      <c r="D28" s="258">
        <f>((1-D21)*D25+D21*D26)/D22</f>
        <v>0</v>
      </c>
      <c r="E28" s="258">
        <f t="shared" ref="E28:G28" si="5">((1-E21)*E25+E21*E26)/E22</f>
        <v>0</v>
      </c>
      <c r="F28" s="258">
        <f t="shared" si="5"/>
        <v>0</v>
      </c>
      <c r="G28" s="258">
        <f t="shared" si="5"/>
        <v>0</v>
      </c>
      <c r="H28" s="253"/>
      <c r="I28" s="249" t="s">
        <v>32</v>
      </c>
    </row>
    <row r="29" spans="2:9" ht="15" customHeight="1" x14ac:dyDescent="0.2">
      <c r="B29" s="249"/>
      <c r="C29" s="249" t="s">
        <v>24</v>
      </c>
      <c r="D29" s="259"/>
      <c r="E29" s="264"/>
      <c r="F29" s="250">
        <v>0</v>
      </c>
      <c r="G29" s="250">
        <v>0</v>
      </c>
      <c r="H29" s="257"/>
      <c r="I29" s="249" t="s">
        <v>25</v>
      </c>
    </row>
    <row r="30" spans="2:9" ht="15" customHeight="1" x14ac:dyDescent="0.2">
      <c r="B30" s="249"/>
      <c r="C30" s="249" t="s">
        <v>33</v>
      </c>
      <c r="D30" s="260">
        <f>D27*D29*1000</f>
        <v>0</v>
      </c>
      <c r="E30" s="260">
        <f t="shared" ref="E30:G30" si="6">E27*E29*1000</f>
        <v>0</v>
      </c>
      <c r="F30" s="260">
        <f t="shared" si="6"/>
        <v>0</v>
      </c>
      <c r="G30" s="260">
        <f t="shared" si="6"/>
        <v>0</v>
      </c>
      <c r="H30" s="261">
        <f>SUM(D30:G30)</f>
        <v>0</v>
      </c>
      <c r="I30" s="254" t="s">
        <v>27</v>
      </c>
    </row>
    <row r="31" spans="2:9" ht="15" customHeight="1" x14ac:dyDescent="0.3">
      <c r="B31" s="249"/>
      <c r="C31" s="249" t="s">
        <v>34</v>
      </c>
      <c r="D31" s="260">
        <f>D28*D29</f>
        <v>0</v>
      </c>
      <c r="E31" s="262">
        <f t="shared" ref="E31:G31" si="7">E28*E29</f>
        <v>0</v>
      </c>
      <c r="F31" s="262">
        <f t="shared" si="7"/>
        <v>0</v>
      </c>
      <c r="G31" s="262">
        <f t="shared" si="7"/>
        <v>0</v>
      </c>
      <c r="H31" s="265">
        <f>SUM(D31:G31)</f>
        <v>0</v>
      </c>
      <c r="I31" s="254" t="s">
        <v>29</v>
      </c>
    </row>
    <row r="32" spans="2:9" ht="15" customHeight="1" x14ac:dyDescent="0.2">
      <c r="B32" s="249"/>
      <c r="C32" s="249"/>
      <c r="D32" s="249"/>
      <c r="E32" s="249"/>
      <c r="F32" s="249"/>
      <c r="G32" s="249"/>
      <c r="H32" s="249"/>
      <c r="I32" s="249"/>
    </row>
    <row r="33" spans="2:9" ht="15" customHeight="1" x14ac:dyDescent="0.2">
      <c r="B33" s="249"/>
      <c r="C33" s="247" t="s">
        <v>35</v>
      </c>
      <c r="D33" s="249"/>
      <c r="E33" s="249"/>
      <c r="F33" s="249"/>
      <c r="G33" s="249"/>
      <c r="H33" s="249"/>
      <c r="I33" s="249"/>
    </row>
    <row r="34" spans="2:9" ht="15" customHeight="1" x14ac:dyDescent="0.2">
      <c r="B34" s="249"/>
      <c r="C34" s="254" t="s">
        <v>36</v>
      </c>
      <c r="D34" s="266">
        <f>D16-D30</f>
        <v>0</v>
      </c>
      <c r="E34" s="266">
        <f t="shared" ref="E34:G34" si="8">E16-E30</f>
        <v>0</v>
      </c>
      <c r="F34" s="266">
        <f t="shared" si="8"/>
        <v>0</v>
      </c>
      <c r="G34" s="266">
        <f t="shared" si="8"/>
        <v>0</v>
      </c>
      <c r="H34" s="267">
        <f>H16-H30</f>
        <v>0</v>
      </c>
      <c r="I34" s="254" t="s">
        <v>27</v>
      </c>
    </row>
    <row r="35" spans="2:9" ht="15" customHeight="1" x14ac:dyDescent="0.2">
      <c r="B35" s="249"/>
      <c r="C35" s="254" t="s">
        <v>36</v>
      </c>
      <c r="D35" s="266">
        <f>D34*10^-9</f>
        <v>0</v>
      </c>
      <c r="E35" s="266">
        <f t="shared" ref="E35:H35" si="9">E34*10^-9</f>
        <v>0</v>
      </c>
      <c r="F35" s="266">
        <f t="shared" si="9"/>
        <v>0</v>
      </c>
      <c r="G35" s="266">
        <f t="shared" si="9"/>
        <v>0</v>
      </c>
      <c r="H35" s="268">
        <f t="shared" si="9"/>
        <v>0</v>
      </c>
      <c r="I35" s="254" t="s">
        <v>37</v>
      </c>
    </row>
    <row r="36" spans="2:9" ht="15" customHeight="1" x14ac:dyDescent="0.2">
      <c r="B36" s="249"/>
      <c r="C36" s="254" t="s">
        <v>36</v>
      </c>
      <c r="D36" s="266">
        <f>D34*0.0000000009471</f>
        <v>0</v>
      </c>
      <c r="E36" s="266">
        <f t="shared" ref="E36:G36" si="10">E34*0.0000000009471</f>
        <v>0</v>
      </c>
      <c r="F36" s="266">
        <f t="shared" si="10"/>
        <v>0</v>
      </c>
      <c r="G36" s="266">
        <f t="shared" si="10"/>
        <v>0</v>
      </c>
      <c r="H36" s="268">
        <f>H34*0.0000000009471</f>
        <v>0</v>
      </c>
      <c r="I36" s="254" t="s">
        <v>38</v>
      </c>
    </row>
    <row r="37" spans="2:9" ht="15" customHeight="1" x14ac:dyDescent="0.2">
      <c r="B37" s="249"/>
      <c r="C37" s="254" t="s">
        <v>36</v>
      </c>
      <c r="D37" s="266">
        <f>D34*9.471*10^-13</f>
        <v>0</v>
      </c>
      <c r="E37" s="266">
        <f t="shared" ref="E37:H37" si="11">E34*9.471*10^-13</f>
        <v>0</v>
      </c>
      <c r="F37" s="266">
        <f t="shared" si="11"/>
        <v>0</v>
      </c>
      <c r="G37" s="266">
        <f t="shared" si="11"/>
        <v>0</v>
      </c>
      <c r="H37" s="269">
        <f t="shared" si="11"/>
        <v>0</v>
      </c>
      <c r="I37" s="254" t="s">
        <v>39</v>
      </c>
    </row>
    <row r="38" spans="2:9" ht="15" customHeight="1" x14ac:dyDescent="0.3">
      <c r="B38" s="249"/>
      <c r="C38" s="254" t="s">
        <v>40</v>
      </c>
      <c r="D38" s="266">
        <f>D17-D31</f>
        <v>0</v>
      </c>
      <c r="E38" s="266">
        <f>E17-E31</f>
        <v>0</v>
      </c>
      <c r="F38" s="266">
        <f>F17-F31</f>
        <v>0</v>
      </c>
      <c r="G38" s="266">
        <f>G17-G31</f>
        <v>0</v>
      </c>
      <c r="H38" s="270">
        <f>H17-H31</f>
        <v>0</v>
      </c>
      <c r="I38" s="254" t="s">
        <v>29</v>
      </c>
    </row>
    <row r="39" spans="2:9" ht="15" customHeight="1" x14ac:dyDescent="0.2">
      <c r="B39" s="249"/>
      <c r="C39" s="254" t="s">
        <v>41</v>
      </c>
      <c r="D39" s="271" t="e">
        <f>(D16-D30)/D16</f>
        <v>#DIV/0!</v>
      </c>
      <c r="E39" s="271"/>
      <c r="F39" s="271"/>
      <c r="G39" s="271"/>
      <c r="H39" s="272" t="e">
        <f>(H16-H30)/H16</f>
        <v>#DIV/0!</v>
      </c>
      <c r="I39" s="254"/>
    </row>
    <row r="40" spans="2:9" ht="15" customHeight="1" x14ac:dyDescent="0.2">
      <c r="B40" s="249"/>
      <c r="C40" s="254" t="s">
        <v>42</v>
      </c>
      <c r="D40" s="271" t="e">
        <f>(D17-D31)/D17</f>
        <v>#DIV/0!</v>
      </c>
      <c r="E40" s="271"/>
      <c r="F40" s="271"/>
      <c r="G40" s="271"/>
      <c r="H40" s="272" t="e">
        <f>(H17-H31)/H17</f>
        <v>#DIV/0!</v>
      </c>
      <c r="I40" s="254"/>
    </row>
    <row r="41" spans="2:9" x14ac:dyDescent="0.2">
      <c r="B41" s="249"/>
      <c r="C41" s="249"/>
      <c r="D41" s="249"/>
      <c r="E41" s="249"/>
      <c r="F41" s="249"/>
      <c r="G41" s="249"/>
      <c r="H41" s="249"/>
      <c r="I41" s="249"/>
    </row>
    <row r="42" spans="2:9" s="242" customFormat="1" x14ac:dyDescent="0.2"/>
    <row r="43" spans="2:9" s="242" customFormat="1" ht="27.75" customHeight="1" x14ac:dyDescent="0.2">
      <c r="B43" s="243" t="s">
        <v>532</v>
      </c>
      <c r="C43" s="243"/>
      <c r="D43" s="243"/>
      <c r="E43" s="243"/>
      <c r="F43" s="243"/>
      <c r="G43" s="243"/>
      <c r="H43" s="243"/>
      <c r="I43" s="243"/>
    </row>
    <row r="44" spans="2:9" s="242" customFormat="1" x14ac:dyDescent="0.2">
      <c r="B44" s="243" t="s">
        <v>536</v>
      </c>
      <c r="C44" s="243"/>
      <c r="D44" s="243"/>
      <c r="E44" s="243"/>
      <c r="F44" s="243"/>
      <c r="G44" s="243"/>
      <c r="H44" s="243"/>
      <c r="I44" s="243"/>
    </row>
    <row r="45" spans="2:9" s="242" customFormat="1" ht="37.5" customHeight="1" x14ac:dyDescent="0.2">
      <c r="B45" s="243" t="s">
        <v>533</v>
      </c>
      <c r="C45" s="243"/>
      <c r="D45" s="243"/>
      <c r="E45" s="243"/>
      <c r="F45" s="243"/>
      <c r="G45" s="243"/>
      <c r="H45" s="243"/>
      <c r="I45" s="243"/>
    </row>
    <row r="46" spans="2:9" s="242" customFormat="1" ht="22.15" customHeight="1" x14ac:dyDescent="0.2">
      <c r="B46" s="243" t="s">
        <v>43</v>
      </c>
      <c r="C46" s="243"/>
      <c r="D46" s="243"/>
      <c r="E46" s="243"/>
      <c r="F46" s="243"/>
      <c r="G46" s="243"/>
      <c r="H46" s="243"/>
      <c r="I46" s="243"/>
    </row>
    <row r="47" spans="2:9" s="242" customFormat="1" x14ac:dyDescent="0.2">
      <c r="B47" s="244" t="s">
        <v>535</v>
      </c>
      <c r="C47" s="244"/>
      <c r="D47" s="244"/>
      <c r="E47" s="244"/>
      <c r="F47" s="244"/>
      <c r="G47" s="244"/>
      <c r="H47" s="244"/>
      <c r="I47" s="244"/>
    </row>
    <row r="48" spans="2:9" s="242" customFormat="1" x14ac:dyDescent="0.2">
      <c r="B48" s="245"/>
      <c r="C48" s="245"/>
      <c r="D48" s="245"/>
      <c r="E48" s="245"/>
      <c r="F48" s="245"/>
      <c r="G48" s="245"/>
      <c r="H48" s="245"/>
      <c r="I48" s="245"/>
    </row>
    <row r="49" spans="2:9" s="242" customFormat="1" ht="26.25" customHeight="1" x14ac:dyDescent="0.2">
      <c r="B49" s="244" t="s">
        <v>534</v>
      </c>
      <c r="C49" s="244"/>
      <c r="D49" s="244"/>
      <c r="E49" s="244"/>
      <c r="F49" s="244"/>
      <c r="G49" s="244"/>
      <c r="H49" s="244"/>
      <c r="I49" s="244"/>
    </row>
    <row r="50" spans="2:9" s="242" customFormat="1" ht="72" customHeight="1" x14ac:dyDescent="0.2">
      <c r="B50" s="244" t="s">
        <v>44</v>
      </c>
      <c r="C50" s="244"/>
      <c r="D50" s="244"/>
      <c r="E50" s="244"/>
      <c r="F50" s="244"/>
      <c r="G50" s="244"/>
      <c r="H50" s="244"/>
      <c r="I50" s="244"/>
    </row>
    <row r="51" spans="2:9" s="242" customFormat="1" x14ac:dyDescent="0.2"/>
    <row r="52" spans="2:9" s="242" customFormat="1" hidden="1" x14ac:dyDescent="0.2"/>
    <row r="53" spans="2:9" s="242" customFormat="1" hidden="1" x14ac:dyDescent="0.2"/>
  </sheetData>
  <mergeCells count="10">
    <mergeCell ref="B4:I4"/>
    <mergeCell ref="B3:I3"/>
    <mergeCell ref="B46:I46"/>
    <mergeCell ref="B50:I50"/>
    <mergeCell ref="B45:I45"/>
    <mergeCell ref="B43:I43"/>
    <mergeCell ref="B47:I47"/>
    <mergeCell ref="B49:I49"/>
    <mergeCell ref="B44:I44"/>
    <mergeCell ref="B2:I2"/>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2AA84-EC51-40A1-9765-FB54E158994C}">
  <dimension ref="A1:O59"/>
  <sheetViews>
    <sheetView zoomScale="115" zoomScaleNormal="115" workbookViewId="0"/>
  </sheetViews>
  <sheetFormatPr defaultColWidth="0" defaultRowHeight="15" zeroHeight="1" x14ac:dyDescent="0.25"/>
  <cols>
    <col min="1" max="1" width="3.5703125" style="299" customWidth="1"/>
    <col min="2" max="2" width="12.7109375" style="89" customWidth="1"/>
    <col min="3" max="3" width="31.140625" style="89" customWidth="1"/>
    <col min="4" max="4" width="16" style="89" customWidth="1"/>
    <col min="5" max="5" width="21.42578125" style="89" customWidth="1"/>
    <col min="6" max="6" width="9.140625" style="299" customWidth="1"/>
    <col min="7" max="8" width="9.140625" style="299" hidden="1"/>
    <col min="9" max="9" width="29.7109375" style="299" hidden="1"/>
    <col min="10" max="15" width="0" style="89" hidden="1"/>
    <col min="16" max="16384" width="9.140625" style="89" hidden="1"/>
  </cols>
  <sheetData>
    <row r="1" spans="2:14" s="299" customFormat="1" x14ac:dyDescent="0.25"/>
    <row r="2" spans="2:14" s="299" customFormat="1" ht="37.5" customHeight="1" x14ac:dyDescent="0.25">
      <c r="B2" s="300" t="s">
        <v>358</v>
      </c>
      <c r="C2" s="300"/>
      <c r="D2" s="300"/>
      <c r="E2" s="300"/>
    </row>
    <row r="3" spans="2:14" s="299" customFormat="1" x14ac:dyDescent="0.25">
      <c r="B3" s="301"/>
      <c r="C3" s="301"/>
      <c r="D3" s="301"/>
      <c r="E3" s="301"/>
    </row>
    <row r="4" spans="2:14" ht="45.75" x14ac:dyDescent="0.25">
      <c r="B4" s="302" t="s">
        <v>3</v>
      </c>
      <c r="C4" s="303" t="s">
        <v>4</v>
      </c>
      <c r="D4" s="304"/>
      <c r="E4" s="304" t="s">
        <v>10</v>
      </c>
    </row>
    <row r="5" spans="2:14" x14ac:dyDescent="0.25">
      <c r="B5" s="305"/>
      <c r="C5" s="305" t="s">
        <v>359</v>
      </c>
      <c r="D5" s="306" t="s">
        <v>360</v>
      </c>
      <c r="E5" s="305"/>
    </row>
    <row r="6" spans="2:14" x14ac:dyDescent="0.25">
      <c r="B6" s="305"/>
      <c r="C6" s="305" t="s">
        <v>361</v>
      </c>
      <c r="D6" s="307">
        <v>0.5</v>
      </c>
      <c r="E6" s="305"/>
    </row>
    <row r="7" spans="2:14" x14ac:dyDescent="0.25">
      <c r="B7" s="305"/>
      <c r="C7" s="305" t="s">
        <v>14</v>
      </c>
      <c r="D7" s="307">
        <v>1</v>
      </c>
      <c r="E7" s="305"/>
    </row>
    <row r="8" spans="2:14" x14ac:dyDescent="0.25">
      <c r="B8" s="305"/>
      <c r="C8" s="305" t="s">
        <v>362</v>
      </c>
      <c r="D8" s="308">
        <v>23</v>
      </c>
      <c r="E8" s="305" t="s">
        <v>16</v>
      </c>
    </row>
    <row r="9" spans="2:14" x14ac:dyDescent="0.25">
      <c r="B9" s="305"/>
      <c r="C9" s="305" t="s">
        <v>363</v>
      </c>
      <c r="D9" s="308">
        <f>2*D8</f>
        <v>46</v>
      </c>
      <c r="E9" s="305" t="s">
        <v>16</v>
      </c>
    </row>
    <row r="10" spans="2:14" x14ac:dyDescent="0.25">
      <c r="B10" s="305"/>
      <c r="C10" s="305" t="s">
        <v>364</v>
      </c>
      <c r="D10" s="308">
        <f>0.1*D8</f>
        <v>2.3000000000000003</v>
      </c>
      <c r="E10" s="305" t="s">
        <v>16</v>
      </c>
    </row>
    <row r="11" spans="2:14" x14ac:dyDescent="0.25">
      <c r="B11" s="305"/>
      <c r="C11" s="305" t="s">
        <v>365</v>
      </c>
      <c r="D11" s="308">
        <f>0.333*D9</f>
        <v>15.318000000000001</v>
      </c>
      <c r="E11" s="305" t="s">
        <v>16</v>
      </c>
    </row>
    <row r="12" spans="2:14" ht="15.75" x14ac:dyDescent="0.3">
      <c r="B12" s="305"/>
      <c r="C12" s="305" t="s">
        <v>366</v>
      </c>
      <c r="D12" s="308">
        <v>2.19</v>
      </c>
      <c r="E12" s="305" t="s">
        <v>367</v>
      </c>
    </row>
    <row r="13" spans="2:14" ht="15.75" x14ac:dyDescent="0.3">
      <c r="B13" s="305"/>
      <c r="C13" s="305" t="s">
        <v>368</v>
      </c>
      <c r="D13" s="308">
        <f>2*D12</f>
        <v>4.38</v>
      </c>
      <c r="E13" s="305" t="s">
        <v>367</v>
      </c>
    </row>
    <row r="14" spans="2:14" ht="15.75" x14ac:dyDescent="0.3">
      <c r="B14" s="305"/>
      <c r="C14" s="305" t="s">
        <v>369</v>
      </c>
      <c r="D14" s="308">
        <f>0.1*D12</f>
        <v>0.219</v>
      </c>
      <c r="E14" s="305" t="s">
        <v>367</v>
      </c>
      <c r="H14" s="318"/>
      <c r="I14" s="318"/>
      <c r="J14" s="91"/>
      <c r="K14" s="91"/>
      <c r="L14" s="91"/>
      <c r="M14" s="91"/>
      <c r="N14" s="91"/>
    </row>
    <row r="15" spans="2:14" ht="15.75" x14ac:dyDescent="0.3">
      <c r="B15" s="305"/>
      <c r="C15" s="305" t="s">
        <v>370</v>
      </c>
      <c r="D15" s="308">
        <f>0.333*D13</f>
        <v>1.4585399999999999</v>
      </c>
      <c r="E15" s="305" t="s">
        <v>367</v>
      </c>
      <c r="H15" s="318"/>
      <c r="I15" s="318"/>
      <c r="J15" s="91"/>
      <c r="K15" s="91"/>
      <c r="L15" s="91"/>
      <c r="M15" s="91"/>
      <c r="N15" s="91"/>
    </row>
    <row r="16" spans="2:14" x14ac:dyDescent="0.25">
      <c r="B16" s="305"/>
      <c r="C16" s="305" t="s">
        <v>371</v>
      </c>
      <c r="D16" s="309">
        <f>((1-D$6)*D8+D$6*D10)/D$7</f>
        <v>12.65</v>
      </c>
      <c r="E16" s="305" t="s">
        <v>372</v>
      </c>
      <c r="H16" s="318"/>
      <c r="I16" s="318"/>
      <c r="J16" s="91"/>
      <c r="K16" s="91"/>
      <c r="L16" s="91"/>
      <c r="M16" s="91"/>
      <c r="N16" s="91"/>
    </row>
    <row r="17" spans="2:15" ht="15.75" x14ac:dyDescent="0.3">
      <c r="B17" s="305"/>
      <c r="C17" s="305" t="s">
        <v>373</v>
      </c>
      <c r="D17" s="310">
        <f>((1-D$6)*D12+D$6*D14)/D$7</f>
        <v>1.2044999999999999</v>
      </c>
      <c r="E17" s="305" t="s">
        <v>23</v>
      </c>
      <c r="H17" s="318"/>
      <c r="I17" s="318"/>
      <c r="J17" s="91"/>
      <c r="K17" s="91"/>
      <c r="L17" s="91"/>
      <c r="M17" s="91"/>
      <c r="N17" s="91"/>
    </row>
    <row r="18" spans="2:15" x14ac:dyDescent="0.25">
      <c r="B18" s="305"/>
      <c r="C18" s="305" t="s">
        <v>374</v>
      </c>
      <c r="D18" s="309">
        <f>((1-D$6)*D9+D$6*D11)/D$7</f>
        <v>30.658999999999999</v>
      </c>
      <c r="E18" s="305" t="s">
        <v>372</v>
      </c>
      <c r="H18" s="318"/>
      <c r="I18" s="318"/>
      <c r="J18" s="91"/>
      <c r="K18" s="91"/>
      <c r="L18" s="91"/>
      <c r="M18" s="91"/>
      <c r="N18" s="91"/>
    </row>
    <row r="19" spans="2:15" ht="15.75" x14ac:dyDescent="0.3">
      <c r="B19" s="305"/>
      <c r="C19" s="305" t="s">
        <v>375</v>
      </c>
      <c r="D19" s="310">
        <f>((1-D$6)*D13+D$6*D15)/D$7</f>
        <v>2.91927</v>
      </c>
      <c r="E19" s="305" t="s">
        <v>23</v>
      </c>
      <c r="H19" s="318"/>
      <c r="I19" s="318"/>
      <c r="J19" s="91"/>
      <c r="K19" s="91"/>
      <c r="L19" s="91"/>
      <c r="M19" s="91"/>
      <c r="N19" s="91"/>
    </row>
    <row r="20" spans="2:15" x14ac:dyDescent="0.25">
      <c r="B20" s="305"/>
      <c r="C20" s="305" t="s">
        <v>24</v>
      </c>
      <c r="D20" s="311">
        <v>25</v>
      </c>
      <c r="E20" s="305" t="s">
        <v>376</v>
      </c>
      <c r="H20" s="318"/>
      <c r="I20" s="318"/>
      <c r="J20" s="91"/>
      <c r="K20" s="91"/>
      <c r="L20" s="91"/>
      <c r="M20" s="91"/>
      <c r="N20" s="91"/>
    </row>
    <row r="21" spans="2:15" x14ac:dyDescent="0.25">
      <c r="B21" s="305"/>
      <c r="C21" s="305" t="s">
        <v>377</v>
      </c>
      <c r="D21" s="311">
        <v>80000</v>
      </c>
      <c r="E21" s="305"/>
      <c r="H21" s="318"/>
      <c r="I21" s="318"/>
      <c r="J21" s="91"/>
      <c r="K21" s="91"/>
      <c r="L21" s="91"/>
      <c r="M21" s="91"/>
      <c r="N21" s="91"/>
    </row>
    <row r="22" spans="2:15" x14ac:dyDescent="0.25">
      <c r="B22" s="305"/>
      <c r="C22" s="305" t="s">
        <v>378</v>
      </c>
      <c r="D22" s="312">
        <f>D20*D21</f>
        <v>2000000</v>
      </c>
      <c r="E22" s="305" t="s">
        <v>376</v>
      </c>
      <c r="H22" s="318"/>
      <c r="I22" s="318"/>
      <c r="J22" s="91"/>
      <c r="K22" s="91"/>
      <c r="L22" s="91"/>
      <c r="M22" s="91"/>
      <c r="N22" s="91"/>
    </row>
    <row r="23" spans="2:15" x14ac:dyDescent="0.25">
      <c r="B23" s="305"/>
      <c r="C23" s="305" t="s">
        <v>379</v>
      </c>
      <c r="D23" s="313">
        <f>(D16+D18)*D22</f>
        <v>86618000</v>
      </c>
      <c r="E23" s="305" t="s">
        <v>27</v>
      </c>
      <c r="H23" s="318"/>
      <c r="I23" s="318"/>
      <c r="J23" s="91"/>
      <c r="K23" s="91"/>
      <c r="L23" s="91"/>
      <c r="M23" s="91"/>
      <c r="N23" s="91"/>
    </row>
    <row r="24" spans="2:15" ht="15.75" x14ac:dyDescent="0.3">
      <c r="B24" s="305"/>
      <c r="C24" s="305" t="s">
        <v>380</v>
      </c>
      <c r="D24" s="313">
        <f>(D17+D19)*D23</f>
        <v>357192709.86000001</v>
      </c>
      <c r="E24" s="305" t="s">
        <v>381</v>
      </c>
      <c r="H24" s="318"/>
      <c r="I24" s="318"/>
      <c r="J24" s="91"/>
      <c r="K24" s="91"/>
      <c r="L24" s="91"/>
      <c r="M24" s="91"/>
      <c r="N24" s="91"/>
    </row>
    <row r="25" spans="2:15" x14ac:dyDescent="0.25">
      <c r="B25" s="305"/>
      <c r="C25" s="305"/>
      <c r="D25" s="306"/>
      <c r="E25" s="305"/>
      <c r="H25" s="318"/>
      <c r="I25" s="318"/>
      <c r="J25" s="91"/>
      <c r="K25" s="91"/>
      <c r="L25" s="91"/>
      <c r="M25" s="91"/>
      <c r="N25" s="91"/>
    </row>
    <row r="26" spans="2:15" ht="15.75" x14ac:dyDescent="0.25">
      <c r="B26" s="305"/>
      <c r="C26" s="303" t="s">
        <v>30</v>
      </c>
      <c r="D26" s="304"/>
      <c r="E26" s="305"/>
      <c r="H26" s="318"/>
      <c r="I26" s="318"/>
      <c r="J26" s="91"/>
      <c r="K26" s="91"/>
      <c r="L26" s="91"/>
      <c r="M26" s="91"/>
      <c r="N26" s="91"/>
      <c r="O26" s="91"/>
    </row>
    <row r="27" spans="2:15" x14ac:dyDescent="0.25">
      <c r="B27" s="305"/>
      <c r="C27" s="305" t="s">
        <v>359</v>
      </c>
      <c r="D27" s="306" t="s">
        <v>360</v>
      </c>
      <c r="E27" s="305"/>
      <c r="H27" s="318"/>
      <c r="I27" s="318"/>
      <c r="J27" s="91"/>
      <c r="K27" s="91"/>
      <c r="L27" s="91"/>
      <c r="M27" s="91"/>
      <c r="N27" s="91"/>
      <c r="O27" s="91"/>
    </row>
    <row r="28" spans="2:15" x14ac:dyDescent="0.25">
      <c r="B28" s="305"/>
      <c r="C28" s="305" t="s">
        <v>361</v>
      </c>
      <c r="D28" s="307">
        <v>0.5</v>
      </c>
      <c r="E28" s="305"/>
      <c r="H28" s="318"/>
      <c r="I28" s="318"/>
      <c r="J28" s="91"/>
      <c r="K28" s="91"/>
      <c r="L28" s="91"/>
      <c r="M28" s="91"/>
      <c r="N28" s="91"/>
      <c r="O28" s="91"/>
    </row>
    <row r="29" spans="2:15" x14ac:dyDescent="0.25">
      <c r="B29" s="305"/>
      <c r="C29" s="305" t="s">
        <v>14</v>
      </c>
      <c r="D29" s="307">
        <v>1</v>
      </c>
      <c r="E29" s="305"/>
      <c r="H29" s="318"/>
      <c r="I29" s="318"/>
      <c r="J29" s="91"/>
      <c r="K29" s="91"/>
      <c r="L29" s="91"/>
      <c r="M29" s="91"/>
      <c r="N29" s="91"/>
      <c r="O29" s="91"/>
    </row>
    <row r="30" spans="2:15" x14ac:dyDescent="0.25">
      <c r="B30" s="305"/>
      <c r="C30" s="305" t="s">
        <v>362</v>
      </c>
      <c r="D30" s="309">
        <f>D8</f>
        <v>23</v>
      </c>
      <c r="E30" s="305" t="s">
        <v>16</v>
      </c>
      <c r="H30" s="318"/>
      <c r="I30" s="318"/>
      <c r="J30" s="91"/>
      <c r="K30" s="91"/>
      <c r="L30" s="91"/>
      <c r="M30" s="91"/>
      <c r="N30" s="91"/>
      <c r="O30" s="91"/>
    </row>
    <row r="31" spans="2:15" x14ac:dyDescent="0.25">
      <c r="B31" s="305"/>
      <c r="C31" s="305" t="s">
        <v>363</v>
      </c>
      <c r="D31" s="309">
        <f t="shared" ref="D31:D37" si="0">D9</f>
        <v>46</v>
      </c>
      <c r="E31" s="305" t="s">
        <v>16</v>
      </c>
      <c r="H31" s="318"/>
      <c r="I31" s="318"/>
      <c r="J31" s="91"/>
      <c r="K31" s="91"/>
      <c r="L31" s="91"/>
      <c r="M31" s="91"/>
      <c r="N31" s="91"/>
      <c r="O31" s="91"/>
    </row>
    <row r="32" spans="2:15" x14ac:dyDescent="0.25">
      <c r="B32" s="305"/>
      <c r="C32" s="305" t="s">
        <v>364</v>
      </c>
      <c r="D32" s="309">
        <f t="shared" si="0"/>
        <v>2.3000000000000003</v>
      </c>
      <c r="E32" s="305" t="s">
        <v>16</v>
      </c>
      <c r="H32" s="318"/>
      <c r="I32" s="318"/>
      <c r="J32" s="91"/>
      <c r="K32" s="91"/>
      <c r="L32" s="91"/>
      <c r="M32" s="91"/>
      <c r="N32" s="91"/>
      <c r="O32" s="91"/>
    </row>
    <row r="33" spans="2:15" x14ac:dyDescent="0.25">
      <c r="B33" s="305"/>
      <c r="C33" s="305" t="s">
        <v>365</v>
      </c>
      <c r="D33" s="309">
        <f t="shared" si="0"/>
        <v>15.318000000000001</v>
      </c>
      <c r="E33" s="305" t="s">
        <v>16</v>
      </c>
      <c r="H33" s="318"/>
      <c r="I33" s="318"/>
      <c r="J33" s="91"/>
      <c r="K33" s="91"/>
      <c r="L33" s="91"/>
      <c r="M33" s="91"/>
      <c r="N33" s="91"/>
      <c r="O33" s="91"/>
    </row>
    <row r="34" spans="2:15" ht="15.75" x14ac:dyDescent="0.3">
      <c r="B34" s="305"/>
      <c r="C34" s="305" t="s">
        <v>366</v>
      </c>
      <c r="D34" s="309">
        <f t="shared" si="0"/>
        <v>2.19</v>
      </c>
      <c r="E34" s="305" t="s">
        <v>367</v>
      </c>
      <c r="H34" s="318"/>
      <c r="I34" s="318"/>
      <c r="J34" s="91"/>
      <c r="K34" s="91"/>
      <c r="L34" s="91"/>
      <c r="M34" s="91"/>
      <c r="N34" s="91"/>
      <c r="O34" s="91"/>
    </row>
    <row r="35" spans="2:15" ht="15.75" x14ac:dyDescent="0.3">
      <c r="B35" s="305"/>
      <c r="C35" s="305" t="s">
        <v>368</v>
      </c>
      <c r="D35" s="309">
        <f t="shared" si="0"/>
        <v>4.38</v>
      </c>
      <c r="E35" s="305" t="s">
        <v>367</v>
      </c>
      <c r="H35" s="318"/>
      <c r="I35" s="318"/>
      <c r="J35" s="91"/>
      <c r="K35" s="91"/>
      <c r="L35" s="91"/>
      <c r="M35" s="91"/>
      <c r="N35" s="91"/>
      <c r="O35" s="91"/>
    </row>
    <row r="36" spans="2:15" ht="15.75" x14ac:dyDescent="0.3">
      <c r="B36" s="305"/>
      <c r="C36" s="305" t="s">
        <v>369</v>
      </c>
      <c r="D36" s="309">
        <f t="shared" si="0"/>
        <v>0.219</v>
      </c>
      <c r="E36" s="305" t="s">
        <v>367</v>
      </c>
      <c r="H36" s="318"/>
      <c r="I36" s="318"/>
      <c r="J36" s="91"/>
      <c r="K36" s="91"/>
      <c r="L36" s="91"/>
      <c r="M36" s="91"/>
      <c r="N36" s="91"/>
      <c r="O36" s="91"/>
    </row>
    <row r="37" spans="2:15" ht="15.75" x14ac:dyDescent="0.3">
      <c r="B37" s="305"/>
      <c r="C37" s="305" t="s">
        <v>370</v>
      </c>
      <c r="D37" s="309">
        <f t="shared" si="0"/>
        <v>1.4585399999999999</v>
      </c>
      <c r="E37" s="305" t="s">
        <v>367</v>
      </c>
      <c r="H37" s="318"/>
      <c r="I37" s="318"/>
      <c r="J37" s="91"/>
      <c r="K37" s="91"/>
      <c r="L37" s="91"/>
      <c r="M37" s="91"/>
      <c r="N37" s="91"/>
      <c r="O37" s="91"/>
    </row>
    <row r="38" spans="2:15" x14ac:dyDescent="0.25">
      <c r="B38" s="305"/>
      <c r="C38" s="305" t="s">
        <v>371</v>
      </c>
      <c r="D38" s="309">
        <f>((1-D$28)*D30+D$28*D32)/D$29</f>
        <v>12.65</v>
      </c>
      <c r="E38" s="305" t="s">
        <v>372</v>
      </c>
      <c r="H38" s="318"/>
      <c r="I38" s="318"/>
      <c r="J38" s="91"/>
      <c r="K38" s="91"/>
      <c r="L38" s="91"/>
      <c r="M38" s="91"/>
      <c r="N38" s="91"/>
      <c r="O38" s="91"/>
    </row>
    <row r="39" spans="2:15" ht="15.75" x14ac:dyDescent="0.3">
      <c r="B39" s="305"/>
      <c r="C39" s="305" t="s">
        <v>373</v>
      </c>
      <c r="D39" s="310">
        <f>((1-D$28)*D34+D$28*D36)/D$29</f>
        <v>1.2044999999999999</v>
      </c>
      <c r="E39" s="305" t="s">
        <v>23</v>
      </c>
      <c r="H39" s="318"/>
      <c r="I39" s="318"/>
      <c r="J39" s="91"/>
      <c r="K39" s="91"/>
      <c r="L39" s="91"/>
      <c r="M39" s="91"/>
      <c r="N39" s="91"/>
      <c r="O39" s="91"/>
    </row>
    <row r="40" spans="2:15" x14ac:dyDescent="0.25">
      <c r="B40" s="305"/>
      <c r="C40" s="305" t="s">
        <v>374</v>
      </c>
      <c r="D40" s="309">
        <f>((1-D$28)*D31+D$6*D33)/D$29</f>
        <v>30.658999999999999</v>
      </c>
      <c r="E40" s="305" t="s">
        <v>372</v>
      </c>
      <c r="H40" s="318"/>
      <c r="I40" s="318"/>
      <c r="J40" s="91"/>
      <c r="K40" s="91"/>
      <c r="L40" s="91"/>
      <c r="M40" s="91"/>
      <c r="N40" s="91"/>
      <c r="O40" s="91"/>
    </row>
    <row r="41" spans="2:15" ht="15.75" x14ac:dyDescent="0.3">
      <c r="B41" s="305"/>
      <c r="C41" s="305" t="s">
        <v>375</v>
      </c>
      <c r="D41" s="310">
        <f>((1-D$28)*D35+D$6*D37)/D$29</f>
        <v>2.91927</v>
      </c>
      <c r="E41" s="305" t="s">
        <v>23</v>
      </c>
      <c r="H41" s="318"/>
      <c r="I41" s="318"/>
      <c r="J41" s="91"/>
      <c r="K41" s="91"/>
      <c r="L41" s="91"/>
      <c r="M41" s="91"/>
      <c r="N41" s="91"/>
      <c r="O41" s="91"/>
    </row>
    <row r="42" spans="2:15" x14ac:dyDescent="0.25">
      <c r="B42" s="305"/>
      <c r="C42" s="305" t="s">
        <v>24</v>
      </c>
      <c r="D42" s="312">
        <f>D20</f>
        <v>25</v>
      </c>
      <c r="E42" s="305" t="s">
        <v>376</v>
      </c>
      <c r="H42" s="318"/>
      <c r="I42" s="318"/>
      <c r="J42" s="91"/>
      <c r="K42" s="91"/>
      <c r="L42" s="91"/>
      <c r="M42" s="91"/>
      <c r="N42" s="91"/>
      <c r="O42" s="91"/>
    </row>
    <row r="43" spans="2:15" x14ac:dyDescent="0.25">
      <c r="B43" s="305"/>
      <c r="C43" s="305" t="s">
        <v>377</v>
      </c>
      <c r="D43" s="312">
        <f>D21</f>
        <v>80000</v>
      </c>
      <c r="E43" s="305"/>
      <c r="H43" s="318"/>
      <c r="I43" s="318"/>
      <c r="J43" s="91"/>
      <c r="K43" s="91"/>
      <c r="L43" s="91"/>
      <c r="M43" s="91"/>
      <c r="N43" s="91"/>
      <c r="O43" s="91"/>
    </row>
    <row r="44" spans="2:15" x14ac:dyDescent="0.25">
      <c r="B44" s="305"/>
      <c r="C44" s="305" t="s">
        <v>378</v>
      </c>
      <c r="D44" s="312">
        <f>D42*D43</f>
        <v>2000000</v>
      </c>
      <c r="E44" s="305" t="s">
        <v>376</v>
      </c>
      <c r="H44" s="318"/>
      <c r="I44" s="318"/>
      <c r="J44" s="91"/>
      <c r="K44" s="91"/>
      <c r="L44" s="91"/>
      <c r="M44" s="91"/>
      <c r="N44" s="91"/>
      <c r="O44" s="91"/>
    </row>
    <row r="45" spans="2:15" x14ac:dyDescent="0.25">
      <c r="B45" s="305"/>
      <c r="C45" s="305" t="s">
        <v>379</v>
      </c>
      <c r="D45" s="313">
        <f>(D38+D40)*D44</f>
        <v>86618000</v>
      </c>
      <c r="E45" s="305" t="s">
        <v>27</v>
      </c>
      <c r="H45" s="318"/>
      <c r="I45" s="318"/>
      <c r="J45" s="91"/>
      <c r="K45" s="91"/>
      <c r="L45" s="91"/>
      <c r="M45" s="91"/>
      <c r="N45" s="91"/>
      <c r="O45" s="91"/>
    </row>
    <row r="46" spans="2:15" ht="15.75" x14ac:dyDescent="0.3">
      <c r="B46" s="305"/>
      <c r="C46" s="305" t="s">
        <v>380</v>
      </c>
      <c r="D46" s="313">
        <f>(D39+D41)*D45</f>
        <v>357192709.86000001</v>
      </c>
      <c r="E46" s="305" t="s">
        <v>381</v>
      </c>
      <c r="H46" s="318"/>
      <c r="I46" s="318"/>
      <c r="J46" s="91"/>
      <c r="K46" s="91"/>
      <c r="L46" s="91"/>
      <c r="M46" s="91"/>
      <c r="N46" s="91"/>
      <c r="O46" s="91"/>
    </row>
    <row r="47" spans="2:15" x14ac:dyDescent="0.25">
      <c r="B47" s="305"/>
      <c r="C47" s="305"/>
      <c r="D47" s="305"/>
      <c r="E47" s="305"/>
      <c r="O47" s="91"/>
    </row>
    <row r="48" spans="2:15" ht="15.75" x14ac:dyDescent="0.25">
      <c r="B48" s="305"/>
      <c r="C48" s="303" t="s">
        <v>35</v>
      </c>
      <c r="D48" s="305"/>
      <c r="E48" s="305"/>
      <c r="O48" s="91"/>
    </row>
    <row r="49" spans="2:15" x14ac:dyDescent="0.25">
      <c r="B49" s="305"/>
      <c r="C49" s="305" t="s">
        <v>36</v>
      </c>
      <c r="D49" s="314">
        <f>D23-D45</f>
        <v>0</v>
      </c>
      <c r="E49" s="305" t="s">
        <v>27</v>
      </c>
      <c r="O49" s="91"/>
    </row>
    <row r="50" spans="2:15" x14ac:dyDescent="0.25">
      <c r="B50" s="305"/>
      <c r="C50" s="305" t="s">
        <v>36</v>
      </c>
      <c r="D50" s="315">
        <f t="shared" ref="D50" si="1">D49*10^-9</f>
        <v>0</v>
      </c>
      <c r="E50" s="305" t="s">
        <v>37</v>
      </c>
      <c r="O50" s="91"/>
    </row>
    <row r="51" spans="2:15" x14ac:dyDescent="0.25">
      <c r="B51" s="305"/>
      <c r="C51" s="305" t="s">
        <v>36</v>
      </c>
      <c r="D51" s="315">
        <f>D49*0.0000000009471</f>
        <v>0</v>
      </c>
      <c r="E51" s="305" t="s">
        <v>38</v>
      </c>
      <c r="O51" s="91"/>
    </row>
    <row r="52" spans="2:15" x14ac:dyDescent="0.25">
      <c r="B52" s="305"/>
      <c r="C52" s="305" t="s">
        <v>36</v>
      </c>
      <c r="D52" s="314">
        <f t="shared" ref="D52" si="2">D49*9.471*10^-13</f>
        <v>0</v>
      </c>
      <c r="E52" s="305" t="s">
        <v>39</v>
      </c>
      <c r="O52" s="91"/>
    </row>
    <row r="53" spans="2:15" ht="15.75" x14ac:dyDescent="0.3">
      <c r="B53" s="305"/>
      <c r="C53" s="305" t="s">
        <v>40</v>
      </c>
      <c r="D53" s="316">
        <f>(D24-D46)/1000</f>
        <v>0</v>
      </c>
      <c r="E53" s="305" t="s">
        <v>29</v>
      </c>
      <c r="O53" s="91"/>
    </row>
    <row r="54" spans="2:15" x14ac:dyDescent="0.25">
      <c r="B54" s="305"/>
      <c r="C54" s="305" t="s">
        <v>41</v>
      </c>
      <c r="D54" s="317">
        <f>(D23-D45)/D23</f>
        <v>0</v>
      </c>
      <c r="E54" s="305"/>
      <c r="O54" s="91"/>
    </row>
    <row r="55" spans="2:15" x14ac:dyDescent="0.25">
      <c r="B55" s="305"/>
      <c r="C55" s="305" t="s">
        <v>42</v>
      </c>
      <c r="D55" s="317">
        <f>(D24-D46)/D24</f>
        <v>0</v>
      </c>
      <c r="E55" s="305"/>
    </row>
    <row r="56" spans="2:15" x14ac:dyDescent="0.25">
      <c r="B56" s="301"/>
      <c r="C56" s="301"/>
      <c r="D56" s="301"/>
      <c r="E56" s="301"/>
    </row>
    <row r="57" spans="2:15" x14ac:dyDescent="0.25">
      <c r="B57" s="301"/>
      <c r="C57" s="301"/>
      <c r="D57" s="301"/>
      <c r="E57" s="301"/>
    </row>
    <row r="58" spans="2:15" ht="48" customHeight="1" x14ac:dyDescent="0.25">
      <c r="B58" s="320" t="s">
        <v>532</v>
      </c>
      <c r="C58" s="320"/>
      <c r="D58" s="320"/>
      <c r="E58" s="320"/>
      <c r="F58" s="319"/>
      <c r="G58" s="319"/>
      <c r="H58" s="319"/>
      <c r="I58" s="319"/>
    </row>
    <row r="59" spans="2:15" s="321" customFormat="1" x14ac:dyDescent="0.25">
      <c r="B59" s="322"/>
      <c r="C59" s="323"/>
      <c r="D59" s="324"/>
      <c r="E59" s="324"/>
    </row>
  </sheetData>
  <mergeCells count="2">
    <mergeCell ref="B2:E2"/>
    <mergeCell ref="B58:E58"/>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81648-3D3D-49E8-9675-F36386E73CAB}">
  <dimension ref="A1:N18"/>
  <sheetViews>
    <sheetView zoomScale="115" zoomScaleNormal="115" workbookViewId="0">
      <selection activeCell="I17" sqref="I17"/>
    </sheetView>
  </sheetViews>
  <sheetFormatPr defaultColWidth="0" defaultRowHeight="14.25" zeroHeight="1" x14ac:dyDescent="0.2"/>
  <cols>
    <col min="1" max="1" width="4.140625" style="318" customWidth="1"/>
    <col min="2" max="2" width="4.140625" style="91" customWidth="1"/>
    <col min="3" max="3" width="21.7109375" style="91" customWidth="1"/>
    <col min="4" max="5" width="15.42578125" style="91" customWidth="1"/>
    <col min="6" max="8" width="15" style="91" customWidth="1"/>
    <col min="9" max="9" width="18.85546875" style="91" customWidth="1"/>
    <col min="10" max="10" width="13.7109375" style="91" customWidth="1"/>
    <col min="11" max="11" width="16" style="91" customWidth="1"/>
    <col min="12" max="12" width="3.28515625" style="91" customWidth="1"/>
    <col min="13" max="14" width="8.85546875" style="318" customWidth="1"/>
    <col min="15" max="16384" width="8.85546875" style="91" hidden="1"/>
  </cols>
  <sheetData>
    <row r="1" spans="1:14" s="318" customFormat="1" x14ac:dyDescent="0.2"/>
    <row r="2" spans="1:14" s="318" customFormat="1" ht="18" x14ac:dyDescent="0.2">
      <c r="B2" s="326" t="s">
        <v>382</v>
      </c>
      <c r="C2" s="326"/>
    </row>
    <row r="3" spans="1:14" s="318" customFormat="1" ht="15" thickBot="1" x14ac:dyDescent="0.25"/>
    <row r="4" spans="1:14" ht="15" x14ac:dyDescent="0.25">
      <c r="B4" s="327"/>
      <c r="C4" s="328" t="s">
        <v>383</v>
      </c>
      <c r="D4" s="329"/>
      <c r="E4" s="329"/>
      <c r="F4" s="330"/>
      <c r="G4" s="330"/>
      <c r="H4" s="330"/>
      <c r="I4" s="330"/>
      <c r="J4" s="330"/>
      <c r="K4" s="330"/>
      <c r="L4" s="331"/>
    </row>
    <row r="5" spans="1:14" ht="7.9" customHeight="1" x14ac:dyDescent="0.2">
      <c r="B5" s="332"/>
      <c r="C5" s="318"/>
      <c r="D5" s="318"/>
      <c r="E5" s="318"/>
      <c r="F5" s="318"/>
      <c r="G5" s="318"/>
      <c r="H5" s="318"/>
      <c r="I5" s="318"/>
      <c r="J5" s="318"/>
      <c r="K5" s="318"/>
      <c r="L5" s="333"/>
    </row>
    <row r="6" spans="1:14" x14ac:dyDescent="0.2">
      <c r="B6" s="334"/>
      <c r="C6" s="335" t="s">
        <v>384</v>
      </c>
      <c r="D6" s="318"/>
      <c r="E6" s="318"/>
      <c r="F6" s="318"/>
      <c r="G6" s="318"/>
      <c r="H6" s="318"/>
      <c r="I6" s="318"/>
      <c r="J6" s="318"/>
      <c r="K6" s="318"/>
      <c r="L6" s="333"/>
    </row>
    <row r="7" spans="1:14" ht="7.15" customHeight="1" thickBot="1" x14ac:dyDescent="0.3">
      <c r="B7" s="332"/>
      <c r="C7" s="336"/>
      <c r="D7" s="318"/>
      <c r="E7" s="318"/>
      <c r="F7" s="318"/>
      <c r="G7" s="318"/>
      <c r="H7" s="318"/>
      <c r="I7" s="318"/>
      <c r="J7" s="318"/>
      <c r="K7" s="318"/>
      <c r="L7" s="333"/>
    </row>
    <row r="8" spans="1:14" ht="16.149999999999999" customHeight="1" thickBot="1" x14ac:dyDescent="0.25">
      <c r="B8" s="332"/>
      <c r="C8" s="92" t="s">
        <v>11</v>
      </c>
      <c r="D8" s="93" t="s">
        <v>5</v>
      </c>
      <c r="E8" s="93" t="s">
        <v>6</v>
      </c>
      <c r="F8" s="93" t="s">
        <v>7</v>
      </c>
      <c r="G8" s="93" t="s">
        <v>8</v>
      </c>
      <c r="H8" s="93" t="s">
        <v>385</v>
      </c>
      <c r="I8" s="93" t="s">
        <v>386</v>
      </c>
      <c r="J8" s="93" t="s">
        <v>9</v>
      </c>
      <c r="K8" s="94" t="s">
        <v>10</v>
      </c>
      <c r="L8" s="333"/>
    </row>
    <row r="9" spans="1:14" ht="16.149999999999999" customHeight="1" thickBot="1" x14ac:dyDescent="0.25">
      <c r="B9" s="332"/>
      <c r="C9" s="95" t="s">
        <v>11</v>
      </c>
      <c r="D9" s="90" t="s">
        <v>12</v>
      </c>
      <c r="E9" s="90" t="s">
        <v>387</v>
      </c>
      <c r="F9" s="90" t="s">
        <v>388</v>
      </c>
      <c r="G9" s="90" t="s">
        <v>389</v>
      </c>
      <c r="H9" s="90" t="s">
        <v>390</v>
      </c>
      <c r="I9" s="90" t="s">
        <v>391</v>
      </c>
      <c r="J9" s="90"/>
      <c r="K9" s="96"/>
      <c r="L9" s="333"/>
    </row>
    <row r="10" spans="1:14" s="103" customFormat="1" ht="15" customHeight="1" thickBot="1" x14ac:dyDescent="0.25">
      <c r="A10" s="325"/>
      <c r="B10" s="339"/>
      <c r="C10" s="97" t="s">
        <v>392</v>
      </c>
      <c r="D10" s="98">
        <f>962.6/981</f>
        <v>0.98124362895005102</v>
      </c>
      <c r="E10" s="99">
        <f>5.9/981</f>
        <v>6.014271151885831E-3</v>
      </c>
      <c r="F10" s="98">
        <f>3.3/981</f>
        <v>3.3639143730886849E-3</v>
      </c>
      <c r="G10" s="98">
        <f>1.8/981</f>
        <v>1.834862385321101E-3</v>
      </c>
      <c r="H10" s="98">
        <f>1.2/981</f>
        <v>1.2232415902140672E-3</v>
      </c>
      <c r="I10" s="100">
        <f>6.4/981</f>
        <v>6.523955147808359E-3</v>
      </c>
      <c r="J10" s="101">
        <f>SUM(D10:I10)</f>
        <v>1.0002038735983692</v>
      </c>
      <c r="K10" s="102"/>
      <c r="L10" s="337"/>
      <c r="M10" s="325"/>
      <c r="N10" s="325"/>
    </row>
    <row r="11" spans="1:14" s="103" customFormat="1" ht="15" customHeight="1" thickBot="1" x14ac:dyDescent="0.25">
      <c r="A11" s="325"/>
      <c r="B11" s="339"/>
      <c r="C11" s="104" t="s">
        <v>393</v>
      </c>
      <c r="D11" s="105">
        <v>23</v>
      </c>
      <c r="E11" s="106">
        <v>84.5</v>
      </c>
      <c r="F11" s="107">
        <v>59</v>
      </c>
      <c r="G11" s="106">
        <v>210</v>
      </c>
      <c r="H11" s="107">
        <v>59</v>
      </c>
      <c r="I11" s="106">
        <v>11880</v>
      </c>
      <c r="J11" s="108"/>
      <c r="K11" s="109" t="s">
        <v>16</v>
      </c>
      <c r="L11" s="337"/>
      <c r="M11" s="325"/>
      <c r="N11" s="325"/>
    </row>
    <row r="12" spans="1:14" s="103" customFormat="1" ht="15" customHeight="1" thickBot="1" x14ac:dyDescent="0.25">
      <c r="A12" s="325"/>
      <c r="B12" s="339"/>
      <c r="C12" s="104" t="s">
        <v>394</v>
      </c>
      <c r="D12" s="110">
        <v>2.19</v>
      </c>
      <c r="E12" s="111">
        <v>4.95</v>
      </c>
      <c r="F12" s="110">
        <v>3.7</v>
      </c>
      <c r="G12" s="110">
        <v>12</v>
      </c>
      <c r="H12" s="110">
        <v>3.7</v>
      </c>
      <c r="I12" s="112">
        <v>1723</v>
      </c>
      <c r="J12" s="108"/>
      <c r="K12" s="109" t="s">
        <v>19</v>
      </c>
      <c r="L12" s="337"/>
      <c r="M12" s="325"/>
      <c r="N12" s="325"/>
    </row>
    <row r="13" spans="1:14" s="103" customFormat="1" ht="15" customHeight="1" x14ac:dyDescent="0.2">
      <c r="A13" s="325"/>
      <c r="B13" s="339"/>
      <c r="C13" s="113" t="s">
        <v>395</v>
      </c>
      <c r="D13" s="114">
        <f>D$10*D11</f>
        <v>22.568603465851172</v>
      </c>
      <c r="E13" s="114">
        <f t="shared" ref="D13:I14" si="0">E$10*E11</f>
        <v>0.50820591233435275</v>
      </c>
      <c r="F13" s="114">
        <f t="shared" si="0"/>
        <v>0.19847094801223242</v>
      </c>
      <c r="G13" s="114">
        <f t="shared" si="0"/>
        <v>0.38532110091743121</v>
      </c>
      <c r="H13" s="114">
        <f t="shared" si="0"/>
        <v>7.2171253822629969E-2</v>
      </c>
      <c r="I13" s="114">
        <f t="shared" si="0"/>
        <v>77.504587155963307</v>
      </c>
      <c r="J13" s="115">
        <f>SUM(D13:I13)</f>
        <v>101.23735983690113</v>
      </c>
      <c r="K13" s="109" t="s">
        <v>396</v>
      </c>
      <c r="L13" s="337"/>
      <c r="M13" s="325"/>
      <c r="N13" s="325"/>
    </row>
    <row r="14" spans="1:14" s="103" customFormat="1" ht="15" customHeight="1" thickBot="1" x14ac:dyDescent="0.25">
      <c r="A14" s="325"/>
      <c r="B14" s="339"/>
      <c r="C14" s="116" t="s">
        <v>397</v>
      </c>
      <c r="D14" s="117">
        <f t="shared" si="0"/>
        <v>2.1489235474006119</v>
      </c>
      <c r="E14" s="117">
        <f t="shared" si="0"/>
        <v>2.9770642201834865E-2</v>
      </c>
      <c r="F14" s="117">
        <f t="shared" si="0"/>
        <v>1.2446483180428135E-2</v>
      </c>
      <c r="G14" s="117">
        <f t="shared" si="0"/>
        <v>2.2018348623853212E-2</v>
      </c>
      <c r="H14" s="117">
        <f t="shared" si="0"/>
        <v>4.5259938837920489E-3</v>
      </c>
      <c r="I14" s="117">
        <f t="shared" si="0"/>
        <v>11.240774719673803</v>
      </c>
      <c r="J14" s="118">
        <f>SUM(D14:I14)</f>
        <v>13.458459734964324</v>
      </c>
      <c r="K14" s="119" t="s">
        <v>398</v>
      </c>
      <c r="L14" s="337"/>
      <c r="M14" s="325"/>
      <c r="N14" s="325"/>
    </row>
    <row r="15" spans="1:14" ht="15" thickBot="1" x14ac:dyDescent="0.25">
      <c r="B15" s="340"/>
      <c r="C15" s="341"/>
      <c r="D15" s="341"/>
      <c r="E15" s="341"/>
      <c r="F15" s="341"/>
      <c r="G15" s="341"/>
      <c r="H15" s="341"/>
      <c r="I15" s="341"/>
      <c r="J15" s="341"/>
      <c r="K15" s="341"/>
      <c r="L15" s="338"/>
    </row>
    <row r="16" spans="1:14" s="318" customFormat="1" x14ac:dyDescent="0.2"/>
    <row r="17" s="318" customFormat="1" x14ac:dyDescent="0.2"/>
    <row r="18" s="318" customFormat="1" x14ac:dyDescent="0.2"/>
  </sheetData>
  <conditionalFormatting sqref="J10">
    <cfRule type="cellIs" dxfId="2" priority="1" operator="notEqual">
      <formula>1</formula>
    </cfRule>
    <cfRule type="cellIs" dxfId="1" priority="2" operator="between">
      <formula>0</formula>
      <formula>0.999</formula>
    </cfRule>
    <cfRule type="cellIs" dxfId="0" priority="3" operator="notEqual">
      <formula>1</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14378-CCFA-4C77-A9D3-2407FDEA5221}">
  <dimension ref="A1:K26"/>
  <sheetViews>
    <sheetView zoomScaleNormal="100" workbookViewId="0">
      <selection activeCell="A26" sqref="A26:XFD1048576"/>
    </sheetView>
  </sheetViews>
  <sheetFormatPr defaultColWidth="0" defaultRowHeight="15" zeroHeight="1" x14ac:dyDescent="0.25"/>
  <cols>
    <col min="1" max="1" width="9.140625" style="299" customWidth="1"/>
    <col min="2" max="2" width="35.7109375" style="89" customWidth="1"/>
    <col min="3" max="3" width="15.7109375" style="89" customWidth="1"/>
    <col min="4" max="4" width="16" style="89" customWidth="1"/>
    <col min="5" max="5" width="16.28515625" style="89" customWidth="1"/>
    <col min="6" max="6" width="18.7109375" style="89" customWidth="1"/>
    <col min="7" max="10" width="14.5703125" style="89" customWidth="1"/>
    <col min="11" max="11" width="9.140625" style="299" customWidth="1"/>
    <col min="12" max="16384" width="9.140625" style="89" hidden="1"/>
  </cols>
  <sheetData>
    <row r="1" spans="2:10" s="299" customFormat="1" x14ac:dyDescent="0.25"/>
    <row r="2" spans="2:10" s="299" customFormat="1" ht="16.5" x14ac:dyDescent="0.25">
      <c r="B2" s="342" t="s">
        <v>399</v>
      </c>
      <c r="C2" s="343"/>
      <c r="D2" s="343"/>
      <c r="E2" s="344"/>
      <c r="F2" s="344"/>
    </row>
    <row r="3" spans="2:10" s="299" customFormat="1" ht="16.5" x14ac:dyDescent="0.25">
      <c r="B3" s="342"/>
      <c r="C3" s="343"/>
      <c r="D3" s="343"/>
      <c r="E3" s="344"/>
      <c r="F3" s="344"/>
    </row>
    <row r="4" spans="2:10" s="299" customFormat="1" ht="15.75" x14ac:dyDescent="0.25">
      <c r="B4" s="345" t="s">
        <v>400</v>
      </c>
      <c r="C4" s="343" t="s">
        <v>401</v>
      </c>
      <c r="D4" s="343" t="s">
        <v>402</v>
      </c>
      <c r="E4" s="344" t="s">
        <v>403</v>
      </c>
      <c r="F4" s="344" t="s">
        <v>404</v>
      </c>
      <c r="G4" s="346" t="s">
        <v>405</v>
      </c>
      <c r="H4" s="346" t="s">
        <v>406</v>
      </c>
      <c r="I4" s="346" t="s">
        <v>407</v>
      </c>
      <c r="J4" s="346" t="s">
        <v>408</v>
      </c>
    </row>
    <row r="5" spans="2:10" ht="15" customHeight="1" x14ac:dyDescent="0.25">
      <c r="B5" s="120"/>
      <c r="C5" s="235" t="s">
        <v>409</v>
      </c>
      <c r="D5" s="236"/>
      <c r="E5" s="236"/>
      <c r="F5" s="237"/>
      <c r="G5" s="235" t="s">
        <v>410</v>
      </c>
      <c r="H5" s="236"/>
      <c r="I5" s="236"/>
      <c r="J5" s="237"/>
    </row>
    <row r="6" spans="2:10" ht="17.45" customHeight="1" x14ac:dyDescent="0.25">
      <c r="B6" s="121"/>
      <c r="C6" s="238" t="s">
        <v>411</v>
      </c>
      <c r="D6" s="239"/>
      <c r="E6" s="240" t="s">
        <v>47</v>
      </c>
      <c r="F6" s="241"/>
      <c r="G6" s="238" t="s">
        <v>412</v>
      </c>
      <c r="H6" s="239"/>
      <c r="I6" s="240" t="s">
        <v>413</v>
      </c>
      <c r="J6" s="241"/>
    </row>
    <row r="7" spans="2:10" ht="30" customHeight="1" x14ac:dyDescent="0.25">
      <c r="B7" s="122" t="s">
        <v>414</v>
      </c>
      <c r="C7" s="123" t="s">
        <v>415</v>
      </c>
      <c r="D7" s="124" t="s">
        <v>416</v>
      </c>
      <c r="E7" s="125" t="s">
        <v>415</v>
      </c>
      <c r="F7" s="126" t="s">
        <v>416</v>
      </c>
      <c r="G7" s="123" t="s">
        <v>415</v>
      </c>
      <c r="H7" s="124" t="s">
        <v>416</v>
      </c>
      <c r="I7" s="125" t="s">
        <v>415</v>
      </c>
      <c r="J7" s="126" t="s">
        <v>416</v>
      </c>
    </row>
    <row r="8" spans="2:10" ht="15.6" customHeight="1" x14ac:dyDescent="0.25">
      <c r="B8" s="127" t="s">
        <v>417</v>
      </c>
      <c r="C8" s="128">
        <f>95580/891.8</f>
        <v>107.17649697241535</v>
      </c>
      <c r="D8" s="129">
        <f>605.9/891.8</f>
        <v>0.67941242431038351</v>
      </c>
      <c r="E8" s="130">
        <v>13.9</v>
      </c>
      <c r="F8" s="131">
        <f>64.7/891.8</f>
        <v>7.2549899080511335E-2</v>
      </c>
      <c r="G8" s="132"/>
      <c r="H8" s="133"/>
      <c r="I8" s="134"/>
      <c r="J8" s="133"/>
    </row>
    <row r="9" spans="2:10" ht="15.6" customHeight="1" x14ac:dyDescent="0.25">
      <c r="B9" s="135" t="s">
        <v>418</v>
      </c>
      <c r="C9" s="136">
        <f>483605.4/3707.3</f>
        <v>130.44679416286786</v>
      </c>
      <c r="D9" s="137">
        <f>63873.5/3707.3</f>
        <v>17.229115528821513</v>
      </c>
      <c r="E9" s="138">
        <f>60236.6/3707.3</f>
        <v>16.248105089957651</v>
      </c>
      <c r="F9" s="139">
        <f>8323.2/3707.3</f>
        <v>2.2450840234132659</v>
      </c>
      <c r="G9" s="140"/>
      <c r="H9" s="141"/>
      <c r="I9" s="142"/>
      <c r="J9" s="141"/>
    </row>
    <row r="10" spans="2:10" ht="15.6" customHeight="1" x14ac:dyDescent="0.25">
      <c r="B10" s="135" t="s">
        <v>419</v>
      </c>
      <c r="C10" s="136">
        <f>253924.8/2075.8</f>
        <v>122.32623566817611</v>
      </c>
      <c r="D10" s="137">
        <f>8517.3/2075.8</f>
        <v>4.1031409577030535</v>
      </c>
      <c r="E10" s="138">
        <f>32307.7/2075.8</f>
        <v>15.563975334810674</v>
      </c>
      <c r="F10" s="139">
        <f>834.9/2075.8</f>
        <v>0.40220637826380184</v>
      </c>
      <c r="G10" s="136">
        <f>99900/2075.8</f>
        <v>48.126023701705364</v>
      </c>
      <c r="H10" s="143">
        <f>36300/2075.8</f>
        <v>17.487233837556602</v>
      </c>
      <c r="I10" s="138">
        <f>7200/2075.8</f>
        <v>3.4685422487715578</v>
      </c>
      <c r="J10" s="144">
        <f>2600/2075.8</f>
        <v>1.2525291453897291</v>
      </c>
    </row>
    <row r="11" spans="2:10" ht="15.6" customHeight="1" x14ac:dyDescent="0.25">
      <c r="B11" s="135" t="s">
        <v>420</v>
      </c>
      <c r="C11" s="136">
        <f>286.1/4.9</f>
        <v>58.387755102040813</v>
      </c>
      <c r="D11" s="137">
        <f>12.7/4.9</f>
        <v>2.5918367346938771</v>
      </c>
      <c r="E11" s="138">
        <v>3.76</v>
      </c>
      <c r="F11" s="139">
        <f>3.6/4.9</f>
        <v>0.73469387755102034</v>
      </c>
      <c r="G11" s="136"/>
      <c r="H11" s="143"/>
      <c r="I11" s="138"/>
      <c r="J11" s="144"/>
    </row>
    <row r="12" spans="2:10" ht="15.75" x14ac:dyDescent="0.25">
      <c r="B12" s="135" t="s">
        <v>421</v>
      </c>
      <c r="C12" s="136">
        <f>5669.8/108.5</f>
        <v>52.25622119815668</v>
      </c>
      <c r="D12" s="143">
        <f>353.7/108.5</f>
        <v>3.2599078341013823</v>
      </c>
      <c r="E12" s="138">
        <f>389.8/108.5</f>
        <v>3.592626728110599</v>
      </c>
      <c r="F12" s="144">
        <f>22.4/108.5</f>
        <v>0.20645161290322581</v>
      </c>
      <c r="G12" s="145">
        <f>11100/108.5</f>
        <v>102.30414746543779</v>
      </c>
      <c r="H12" s="146">
        <f>3900/108.5</f>
        <v>35.944700460829495</v>
      </c>
      <c r="I12" s="147">
        <f>800/108.5</f>
        <v>7.3732718894009217</v>
      </c>
      <c r="J12" s="146">
        <f>300/108.5</f>
        <v>2.7649769585253456</v>
      </c>
    </row>
    <row r="13" spans="2:10" ht="15.75" x14ac:dyDescent="0.25">
      <c r="B13" s="135" t="s">
        <v>422</v>
      </c>
      <c r="C13" s="136">
        <f>253759.2/11787</f>
        <v>21.528735047085775</v>
      </c>
      <c r="D13" s="143">
        <f>51988/11787</f>
        <v>4.4106218715534062</v>
      </c>
      <c r="E13" s="138">
        <f>19996/11787</f>
        <v>1.6964452362772546</v>
      </c>
      <c r="F13" s="144">
        <f>4111/11787</f>
        <v>0.34877407313141595</v>
      </c>
      <c r="G13" s="145">
        <f>1205.3/253.8*C13</f>
        <v>102.2402850758569</v>
      </c>
      <c r="H13" s="146">
        <f>421600/11787</f>
        <v>35.768219224569442</v>
      </c>
      <c r="I13" s="147">
        <f>86.9/20*E13</f>
        <v>7.3710545516246722</v>
      </c>
      <c r="J13" s="146">
        <f>30.4/4.1*F13</f>
        <v>2.5860321519987917</v>
      </c>
    </row>
    <row r="14" spans="2:10" x14ac:dyDescent="0.25">
      <c r="B14" s="148" t="s">
        <v>423</v>
      </c>
      <c r="C14" s="149">
        <v>248.76</v>
      </c>
      <c r="D14" s="143"/>
      <c r="E14" s="138"/>
      <c r="F14" s="150"/>
      <c r="G14" s="151"/>
      <c r="H14" s="141"/>
      <c r="I14" s="151"/>
      <c r="J14" s="141"/>
    </row>
    <row r="15" spans="2:10" x14ac:dyDescent="0.25">
      <c r="B15" s="148" t="s">
        <v>424</v>
      </c>
      <c r="C15" s="149">
        <v>251.316</v>
      </c>
      <c r="D15" s="143"/>
      <c r="E15" s="138"/>
      <c r="F15" s="150"/>
      <c r="G15" s="151"/>
      <c r="H15" s="141"/>
      <c r="I15" s="151"/>
      <c r="J15" s="141"/>
    </row>
    <row r="16" spans="2:10" x14ac:dyDescent="0.25">
      <c r="B16" s="148" t="s">
        <v>425</v>
      </c>
      <c r="C16" s="149">
        <v>500.07600000000002</v>
      </c>
      <c r="D16" s="143"/>
      <c r="E16" s="138"/>
      <c r="F16" s="150"/>
      <c r="G16" s="151"/>
      <c r="H16" s="141"/>
      <c r="I16" s="151"/>
      <c r="J16" s="141"/>
    </row>
    <row r="17" spans="2:10" x14ac:dyDescent="0.25">
      <c r="B17" s="148" t="s">
        <v>426</v>
      </c>
      <c r="C17" s="149">
        <v>441.43200000000002</v>
      </c>
      <c r="D17" s="143"/>
      <c r="E17" s="138"/>
      <c r="F17" s="150"/>
      <c r="G17" s="151"/>
      <c r="H17" s="141"/>
      <c r="I17" s="151"/>
      <c r="J17" s="141"/>
    </row>
    <row r="18" spans="2:10" x14ac:dyDescent="0.25">
      <c r="B18" s="148" t="s">
        <v>427</v>
      </c>
      <c r="C18" s="149">
        <v>1666.6559999999999</v>
      </c>
      <c r="D18" s="143"/>
      <c r="E18" s="138"/>
      <c r="F18" s="150"/>
      <c r="G18" s="151"/>
      <c r="H18" s="141"/>
      <c r="I18" s="151"/>
      <c r="J18" s="141"/>
    </row>
    <row r="19" spans="2:10" x14ac:dyDescent="0.25">
      <c r="B19" s="152" t="s">
        <v>428</v>
      </c>
      <c r="C19" s="153">
        <v>11880</v>
      </c>
      <c r="D19" s="154">
        <v>1723.4</v>
      </c>
      <c r="E19" s="155"/>
      <c r="F19" s="156"/>
      <c r="G19" s="157"/>
      <c r="H19" s="158"/>
      <c r="I19" s="157"/>
      <c r="J19" s="158"/>
    </row>
    <row r="20" spans="2:10" x14ac:dyDescent="0.25">
      <c r="B20" s="299"/>
      <c r="C20" s="299"/>
      <c r="D20" s="299"/>
      <c r="E20" s="299"/>
      <c r="F20" s="299"/>
      <c r="G20" s="299"/>
      <c r="H20" s="299"/>
      <c r="I20" s="299"/>
      <c r="J20" s="299"/>
    </row>
    <row r="21" spans="2:10" x14ac:dyDescent="0.25">
      <c r="B21" s="159" t="s">
        <v>429</v>
      </c>
      <c r="C21" s="160"/>
      <c r="D21" s="160"/>
      <c r="E21" s="299"/>
      <c r="F21" s="299"/>
      <c r="G21" s="299"/>
      <c r="H21" s="299"/>
      <c r="I21" s="299"/>
      <c r="J21" s="299"/>
    </row>
    <row r="22" spans="2:10" x14ac:dyDescent="0.25">
      <c r="B22" s="299"/>
      <c r="C22" s="299"/>
      <c r="D22" s="299"/>
      <c r="E22" s="299"/>
      <c r="F22" s="299"/>
      <c r="G22" s="299"/>
      <c r="H22" s="299"/>
      <c r="I22" s="299"/>
      <c r="J22" s="299"/>
    </row>
    <row r="23" spans="2:10" s="299" customFormat="1" ht="13.9" customHeight="1" x14ac:dyDescent="0.25">
      <c r="B23" s="299" t="s">
        <v>79</v>
      </c>
    </row>
    <row r="24" spans="2:10" s="299" customFormat="1" ht="65.25" customHeight="1" x14ac:dyDescent="0.25">
      <c r="B24" s="347" t="s">
        <v>430</v>
      </c>
      <c r="C24" s="347"/>
      <c r="D24" s="347"/>
      <c r="E24" s="347"/>
      <c r="F24" s="347"/>
      <c r="G24" s="347"/>
      <c r="H24" s="347"/>
      <c r="I24" s="347"/>
      <c r="J24" s="347"/>
    </row>
    <row r="25" spans="2:10" s="299" customFormat="1" x14ac:dyDescent="0.25"/>
    <row r="26" spans="2:10" s="299" customFormat="1" hidden="1" x14ac:dyDescent="0.25"/>
  </sheetData>
  <mergeCells count="7">
    <mergeCell ref="B24:J24"/>
    <mergeCell ref="C5:F5"/>
    <mergeCell ref="G5:J5"/>
    <mergeCell ref="C6:D6"/>
    <mergeCell ref="E6:F6"/>
    <mergeCell ref="G6:H6"/>
    <mergeCell ref="I6:J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07"/>
  <sheetViews>
    <sheetView zoomScale="85" zoomScaleNormal="85" workbookViewId="0"/>
  </sheetViews>
  <sheetFormatPr defaultColWidth="0" defaultRowHeight="12.75" zeroHeight="1" x14ac:dyDescent="0.2"/>
  <cols>
    <col min="1" max="1" width="4.7109375" style="245" customWidth="1"/>
    <col min="2" max="2" width="26.5703125" style="5" bestFit="1" customWidth="1"/>
    <col min="3" max="4" width="19.5703125" style="7" customWidth="1"/>
    <col min="5" max="6" width="19.5703125" style="2" customWidth="1"/>
    <col min="7" max="7" width="19.5703125" style="7" customWidth="1"/>
    <col min="8" max="8" width="19.5703125" style="2" customWidth="1"/>
    <col min="9" max="9" width="19.5703125" style="7" customWidth="1"/>
    <col min="10" max="10" width="19.5703125" style="2" customWidth="1"/>
    <col min="11" max="11" width="19.5703125" style="7" customWidth="1"/>
    <col min="12" max="12" width="19.5703125" style="2" customWidth="1"/>
    <col min="13" max="13" width="19.5703125" style="7" customWidth="1"/>
    <col min="14" max="14" width="19.5703125" style="2" customWidth="1"/>
    <col min="15" max="15" width="50.85546875" style="2" customWidth="1"/>
    <col min="16" max="16" width="12" style="245" bestFit="1" customWidth="1"/>
    <col min="17" max="17" width="12" style="2" hidden="1"/>
    <col min="18" max="16384" width="9.140625" style="2" hidden="1"/>
  </cols>
  <sheetData>
    <row r="1" spans="1:16" s="245" customFormat="1" x14ac:dyDescent="0.2">
      <c r="C1" s="275"/>
      <c r="D1" s="275"/>
      <c r="G1" s="275"/>
      <c r="I1" s="275"/>
      <c r="K1" s="276" t="s">
        <v>480</v>
      </c>
      <c r="M1" s="275"/>
    </row>
    <row r="2" spans="1:16" s="245" customFormat="1" ht="20.45" customHeight="1" x14ac:dyDescent="0.2">
      <c r="B2" s="277" t="s">
        <v>45</v>
      </c>
      <c r="C2" s="278"/>
      <c r="D2" s="278"/>
      <c r="E2" s="279"/>
      <c r="F2" s="279"/>
      <c r="G2" s="278"/>
      <c r="H2" s="279"/>
      <c r="I2" s="278"/>
      <c r="J2" s="279"/>
      <c r="K2" s="278"/>
      <c r="L2" s="279"/>
      <c r="M2" s="278"/>
      <c r="N2" s="279"/>
      <c r="O2" s="280"/>
      <c r="P2" s="280"/>
    </row>
    <row r="3" spans="1:16" s="245" customFormat="1" ht="16.5" thickBot="1" x14ac:dyDescent="0.25">
      <c r="B3" s="279"/>
      <c r="C3" s="278"/>
      <c r="D3" s="278"/>
      <c r="E3" s="279"/>
      <c r="F3" s="279"/>
      <c r="G3" s="278"/>
      <c r="H3" s="279"/>
      <c r="I3" s="278"/>
      <c r="J3" s="279"/>
      <c r="K3" s="278"/>
      <c r="L3" s="279"/>
      <c r="M3" s="278"/>
      <c r="N3" s="279"/>
      <c r="O3" s="280"/>
      <c r="P3" s="280"/>
    </row>
    <row r="4" spans="1:16" ht="15.75" x14ac:dyDescent="0.2">
      <c r="B4" s="164"/>
      <c r="C4" s="218" t="s">
        <v>46</v>
      </c>
      <c r="D4" s="219"/>
      <c r="E4" s="220" t="s">
        <v>47</v>
      </c>
      <c r="F4" s="221"/>
      <c r="G4" s="224" t="s">
        <v>474</v>
      </c>
      <c r="H4" s="225"/>
      <c r="I4" s="224" t="s">
        <v>475</v>
      </c>
      <c r="J4" s="225"/>
      <c r="K4" s="224" t="s">
        <v>481</v>
      </c>
      <c r="L4" s="225"/>
      <c r="M4" s="224" t="s">
        <v>482</v>
      </c>
      <c r="N4" s="225"/>
      <c r="O4" s="222" t="s">
        <v>48</v>
      </c>
      <c r="P4" s="280"/>
    </row>
    <row r="5" spans="1:16" s="6" customFormat="1" ht="63" customHeight="1" x14ac:dyDescent="0.2">
      <c r="A5" s="273"/>
      <c r="B5" s="165" t="s">
        <v>49</v>
      </c>
      <c r="C5" s="172" t="s">
        <v>50</v>
      </c>
      <c r="D5" s="173" t="s">
        <v>51</v>
      </c>
      <c r="E5" s="181" t="s">
        <v>50</v>
      </c>
      <c r="F5" s="182" t="s">
        <v>51</v>
      </c>
      <c r="G5" s="172" t="s">
        <v>476</v>
      </c>
      <c r="H5" s="181" t="s">
        <v>477</v>
      </c>
      <c r="I5" s="172" t="s">
        <v>476</v>
      </c>
      <c r="J5" s="181" t="s">
        <v>477</v>
      </c>
      <c r="K5" s="172" t="s">
        <v>476</v>
      </c>
      <c r="L5" s="181" t="s">
        <v>477</v>
      </c>
      <c r="M5" s="172" t="s">
        <v>476</v>
      </c>
      <c r="N5" s="181" t="s">
        <v>477</v>
      </c>
      <c r="O5" s="223"/>
      <c r="P5" s="281"/>
    </row>
    <row r="6" spans="1:16" customFormat="1" ht="15" x14ac:dyDescent="0.2">
      <c r="A6" s="274"/>
      <c r="B6" s="166" t="s">
        <v>431</v>
      </c>
      <c r="C6" s="174">
        <v>23</v>
      </c>
      <c r="D6" s="175">
        <v>7.3</v>
      </c>
      <c r="E6" s="183">
        <v>2.19</v>
      </c>
      <c r="F6" s="184">
        <v>0.44</v>
      </c>
      <c r="G6" s="174"/>
      <c r="H6" s="183"/>
      <c r="I6" s="174"/>
      <c r="J6" s="183"/>
      <c r="K6" s="174"/>
      <c r="L6" s="183"/>
      <c r="M6" s="174"/>
      <c r="N6" s="183"/>
      <c r="O6" s="191"/>
      <c r="P6" s="274"/>
    </row>
    <row r="7" spans="1:16" ht="24.6" customHeight="1" x14ac:dyDescent="0.2">
      <c r="B7" s="167" t="s">
        <v>52</v>
      </c>
      <c r="C7" s="174">
        <v>26.5</v>
      </c>
      <c r="D7" s="175">
        <v>7.3</v>
      </c>
      <c r="E7" s="183">
        <v>1.8</v>
      </c>
      <c r="F7" s="185">
        <v>0.44</v>
      </c>
      <c r="G7" s="174">
        <v>11.6</v>
      </c>
      <c r="H7" s="183">
        <v>1.8</v>
      </c>
      <c r="I7" s="174">
        <v>4.5</v>
      </c>
      <c r="J7" s="183">
        <v>0.34</v>
      </c>
      <c r="K7" s="174">
        <v>11.6</v>
      </c>
      <c r="L7" s="183">
        <v>1.8</v>
      </c>
      <c r="M7" s="174">
        <v>4.5</v>
      </c>
      <c r="N7" s="183">
        <v>0.34</v>
      </c>
      <c r="O7" s="192" t="s">
        <v>53</v>
      </c>
      <c r="P7" s="281"/>
    </row>
    <row r="8" spans="1:16" ht="30" x14ac:dyDescent="0.2">
      <c r="B8" s="203" t="s">
        <v>54</v>
      </c>
      <c r="C8" s="174">
        <v>32.5</v>
      </c>
      <c r="D8" s="175">
        <v>8.6</v>
      </c>
      <c r="E8" s="183">
        <v>2</v>
      </c>
      <c r="F8" s="185">
        <v>0.52</v>
      </c>
      <c r="G8" s="174">
        <v>11.5</v>
      </c>
      <c r="H8" s="183">
        <v>0.85</v>
      </c>
      <c r="I8" s="174">
        <v>10.5</v>
      </c>
      <c r="J8" s="183">
        <v>0.8</v>
      </c>
      <c r="K8" s="174">
        <v>11.5</v>
      </c>
      <c r="L8" s="183">
        <v>0.85</v>
      </c>
      <c r="M8" s="174">
        <v>10.5</v>
      </c>
      <c r="N8" s="183">
        <v>0.8</v>
      </c>
      <c r="O8" s="192" t="s">
        <v>53</v>
      </c>
      <c r="P8" s="281"/>
    </row>
    <row r="9" spans="1:16" ht="24.6" customHeight="1" x14ac:dyDescent="0.2">
      <c r="B9" s="168" t="s">
        <v>446</v>
      </c>
      <c r="C9" s="174">
        <v>18</v>
      </c>
      <c r="D9" s="175">
        <v>1.5</v>
      </c>
      <c r="E9" s="183">
        <v>10.5</v>
      </c>
      <c r="F9" s="185">
        <v>0.51</v>
      </c>
      <c r="G9" s="174">
        <v>10.5</v>
      </c>
      <c r="H9" s="183">
        <v>0.79</v>
      </c>
      <c r="I9" s="174"/>
      <c r="J9" s="183"/>
      <c r="K9" s="174">
        <v>10.5</v>
      </c>
      <c r="L9" s="183">
        <v>0.79</v>
      </c>
      <c r="M9" s="174"/>
      <c r="N9" s="183"/>
      <c r="O9" s="192" t="s">
        <v>53</v>
      </c>
      <c r="P9" s="281"/>
    </row>
    <row r="10" spans="1:16" ht="24.6" customHeight="1" x14ac:dyDescent="0.2">
      <c r="B10" s="169" t="s">
        <v>55</v>
      </c>
      <c r="C10" s="176">
        <v>84.5</v>
      </c>
      <c r="D10" s="177">
        <v>12</v>
      </c>
      <c r="E10" s="186">
        <v>4.95</v>
      </c>
      <c r="F10" s="187">
        <v>0.72499999999999998</v>
      </c>
      <c r="G10" s="174">
        <v>11</v>
      </c>
      <c r="H10" s="183">
        <v>0.85</v>
      </c>
      <c r="I10" s="176">
        <v>8.1999999999999993</v>
      </c>
      <c r="J10" s="186">
        <v>0.6</v>
      </c>
      <c r="K10" s="174">
        <v>11</v>
      </c>
      <c r="L10" s="183">
        <v>0.85</v>
      </c>
      <c r="M10" s="176">
        <v>8.1999999999999993</v>
      </c>
      <c r="N10" s="186">
        <v>0.6</v>
      </c>
      <c r="O10" s="192" t="s">
        <v>53</v>
      </c>
      <c r="P10" s="281"/>
    </row>
    <row r="11" spans="1:16" ht="24.6" customHeight="1" x14ac:dyDescent="0.2">
      <c r="B11" s="169" t="s">
        <v>56</v>
      </c>
      <c r="C11" s="176">
        <v>210</v>
      </c>
      <c r="D11" s="177">
        <v>26</v>
      </c>
      <c r="E11" s="186">
        <v>12</v>
      </c>
      <c r="F11" s="187">
        <v>2.1</v>
      </c>
      <c r="G11" s="176">
        <v>11.6</v>
      </c>
      <c r="H11" s="186">
        <v>0.87</v>
      </c>
      <c r="I11" s="176">
        <v>5.0999999999999996</v>
      </c>
      <c r="J11" s="186">
        <v>0.21</v>
      </c>
      <c r="K11" s="176">
        <v>11.6</v>
      </c>
      <c r="L11" s="186">
        <v>0.87</v>
      </c>
      <c r="M11" s="176">
        <v>5.0999999999999996</v>
      </c>
      <c r="N11" s="186">
        <v>0.21</v>
      </c>
      <c r="O11" s="192" t="s">
        <v>53</v>
      </c>
      <c r="P11" s="281"/>
    </row>
    <row r="12" spans="1:16" ht="24.6" customHeight="1" x14ac:dyDescent="0.2">
      <c r="B12" s="169" t="s">
        <v>59</v>
      </c>
      <c r="C12" s="176">
        <v>315</v>
      </c>
      <c r="D12" s="177">
        <v>36</v>
      </c>
      <c r="E12" s="186">
        <v>24.5</v>
      </c>
      <c r="F12" s="187">
        <v>2.9</v>
      </c>
      <c r="G12" s="176">
        <v>11.7</v>
      </c>
      <c r="H12" s="186">
        <v>0.88</v>
      </c>
      <c r="I12" s="176">
        <v>5.2</v>
      </c>
      <c r="J12" s="186">
        <v>0.4</v>
      </c>
      <c r="K12" s="176">
        <v>11.7</v>
      </c>
      <c r="L12" s="186">
        <v>0.88</v>
      </c>
      <c r="M12" s="176">
        <v>5.2</v>
      </c>
      <c r="N12" s="186">
        <v>0.4</v>
      </c>
      <c r="O12" s="192" t="s">
        <v>53</v>
      </c>
      <c r="P12" s="281"/>
    </row>
    <row r="13" spans="1:16" ht="24.6" customHeight="1" x14ac:dyDescent="0.2">
      <c r="B13" s="169" t="s">
        <v>64</v>
      </c>
      <c r="C13" s="176">
        <v>685</v>
      </c>
      <c r="D13" s="177">
        <v>87</v>
      </c>
      <c r="E13" s="186">
        <v>46.5</v>
      </c>
      <c r="F13" s="187">
        <v>5.2</v>
      </c>
      <c r="G13" s="176">
        <v>13.3</v>
      </c>
      <c r="H13" s="186">
        <v>0.85</v>
      </c>
      <c r="I13" s="176">
        <v>14.5</v>
      </c>
      <c r="J13" s="186">
        <v>1.1499999999999999</v>
      </c>
      <c r="K13" s="176">
        <v>13.3</v>
      </c>
      <c r="L13" s="186">
        <v>0.85</v>
      </c>
      <c r="M13" s="176">
        <v>14.5</v>
      </c>
      <c r="N13" s="186">
        <v>1.1499999999999999</v>
      </c>
      <c r="O13" s="192" t="s">
        <v>53</v>
      </c>
      <c r="P13" s="281"/>
    </row>
    <row r="14" spans="1:16" ht="24.6" customHeight="1" x14ac:dyDescent="0.2">
      <c r="B14" s="169" t="s">
        <v>57</v>
      </c>
      <c r="C14" s="176">
        <v>59</v>
      </c>
      <c r="D14" s="177">
        <v>13.5</v>
      </c>
      <c r="E14" s="186">
        <v>3.7</v>
      </c>
      <c r="F14" s="187">
        <v>0.82499999999999996</v>
      </c>
      <c r="G14" s="176">
        <v>9.1</v>
      </c>
      <c r="H14" s="186">
        <v>0.69</v>
      </c>
      <c r="I14" s="176">
        <v>0.95</v>
      </c>
      <c r="J14" s="186">
        <v>0.16</v>
      </c>
      <c r="K14" s="176">
        <v>9.1</v>
      </c>
      <c r="L14" s="186">
        <v>0.69</v>
      </c>
      <c r="M14" s="176">
        <v>0.95</v>
      </c>
      <c r="N14" s="186">
        <v>0.16</v>
      </c>
      <c r="O14" s="192" t="s">
        <v>53</v>
      </c>
      <c r="P14" s="281"/>
    </row>
    <row r="15" spans="1:16" ht="24.6" customHeight="1" x14ac:dyDescent="0.2">
      <c r="B15" s="169" t="s">
        <v>448</v>
      </c>
      <c r="C15" s="176">
        <v>27</v>
      </c>
      <c r="D15" s="177">
        <v>7.45</v>
      </c>
      <c r="E15" s="186">
        <v>2</v>
      </c>
      <c r="F15" s="187">
        <v>0.45</v>
      </c>
      <c r="G15" s="176">
        <v>5.4</v>
      </c>
      <c r="H15" s="186">
        <v>0.41</v>
      </c>
      <c r="I15" s="176">
        <v>0.35</v>
      </c>
      <c r="J15" s="186">
        <v>2.7E-2</v>
      </c>
      <c r="K15" s="176">
        <v>5.4</v>
      </c>
      <c r="L15" s="186">
        <v>0.41</v>
      </c>
      <c r="M15" s="176">
        <v>0.35</v>
      </c>
      <c r="N15" s="186">
        <v>2.7E-2</v>
      </c>
      <c r="O15" s="192" t="s">
        <v>53</v>
      </c>
      <c r="P15" s="281"/>
    </row>
    <row r="16" spans="1:16" ht="24.6" customHeight="1" x14ac:dyDescent="0.2">
      <c r="B16" s="169" t="s">
        <v>478</v>
      </c>
      <c r="C16" s="176">
        <v>60</v>
      </c>
      <c r="D16" s="177">
        <v>11</v>
      </c>
      <c r="E16" s="186">
        <v>4.0999999999999996</v>
      </c>
      <c r="F16" s="187">
        <v>0.67</v>
      </c>
      <c r="G16" s="176">
        <v>6.85</v>
      </c>
      <c r="H16" s="186">
        <v>0.51</v>
      </c>
      <c r="I16" s="176">
        <v>1.85</v>
      </c>
      <c r="J16" s="186">
        <v>0.15</v>
      </c>
      <c r="K16" s="176">
        <v>6.85</v>
      </c>
      <c r="L16" s="186">
        <v>0.51</v>
      </c>
      <c r="M16" s="176">
        <v>1.85</v>
      </c>
      <c r="N16" s="186">
        <v>0.15</v>
      </c>
      <c r="O16" s="192" t="s">
        <v>53</v>
      </c>
      <c r="P16" s="281"/>
    </row>
    <row r="17" spans="1:16" customFormat="1" ht="15.75" x14ac:dyDescent="0.2">
      <c r="A17" s="274"/>
      <c r="B17" s="166" t="s">
        <v>447</v>
      </c>
      <c r="C17" s="174">
        <v>54.4</v>
      </c>
      <c r="D17" s="175">
        <v>11</v>
      </c>
      <c r="E17" s="183">
        <v>3.2</v>
      </c>
      <c r="F17" s="184">
        <v>0.67</v>
      </c>
      <c r="G17" s="174"/>
      <c r="H17" s="183"/>
      <c r="I17" s="174"/>
      <c r="J17" s="183"/>
      <c r="K17" s="174"/>
      <c r="L17" s="183"/>
      <c r="M17" s="174"/>
      <c r="N17" s="183"/>
      <c r="O17" s="192" t="s">
        <v>53</v>
      </c>
      <c r="P17" s="274"/>
    </row>
    <row r="18" spans="1:16" ht="24.6" customHeight="1" x14ac:dyDescent="0.2">
      <c r="B18" s="169" t="s">
        <v>58</v>
      </c>
      <c r="C18" s="176">
        <v>181.5</v>
      </c>
      <c r="D18" s="177">
        <v>33</v>
      </c>
      <c r="E18" s="186">
        <v>11.5</v>
      </c>
      <c r="F18" s="187">
        <v>2</v>
      </c>
      <c r="G18" s="176">
        <v>11</v>
      </c>
      <c r="H18" s="186">
        <v>0.81499999999999995</v>
      </c>
      <c r="I18" s="176">
        <v>4.9000000000000004</v>
      </c>
      <c r="J18" s="186">
        <v>0.39</v>
      </c>
      <c r="K18" s="176">
        <v>11</v>
      </c>
      <c r="L18" s="186">
        <v>0.81499999999999995</v>
      </c>
      <c r="M18" s="176">
        <v>4.9000000000000004</v>
      </c>
      <c r="N18" s="186">
        <v>0.39</v>
      </c>
      <c r="O18" s="192" t="s">
        <v>479</v>
      </c>
      <c r="P18" s="281"/>
    </row>
    <row r="19" spans="1:16" ht="24.6" customHeight="1" x14ac:dyDescent="0.2">
      <c r="B19" s="194" t="s">
        <v>449</v>
      </c>
      <c r="C19" s="176">
        <v>232.5</v>
      </c>
      <c r="D19" s="177">
        <v>11.5</v>
      </c>
      <c r="E19" s="186">
        <v>35.6</v>
      </c>
      <c r="F19" s="187" t="s">
        <v>450</v>
      </c>
      <c r="G19" s="176">
        <v>10.5</v>
      </c>
      <c r="H19" s="186">
        <v>0.77500000000000002</v>
      </c>
      <c r="I19" s="176">
        <v>4.3499999999999996</v>
      </c>
      <c r="J19" s="186">
        <v>0.32500000000000001</v>
      </c>
      <c r="K19" s="176">
        <v>10.5</v>
      </c>
      <c r="L19" s="186">
        <v>0.77500000000000002</v>
      </c>
      <c r="M19" s="176">
        <v>4.3499999999999996</v>
      </c>
      <c r="N19" s="186">
        <v>0.32500000000000001</v>
      </c>
      <c r="O19" s="192" t="s">
        <v>479</v>
      </c>
      <c r="P19" s="281"/>
    </row>
    <row r="20" spans="1:16" ht="24.6" customHeight="1" x14ac:dyDescent="0.2">
      <c r="B20" s="169" t="s">
        <v>63</v>
      </c>
      <c r="C20" s="176">
        <v>1475</v>
      </c>
      <c r="D20" s="177">
        <v>155</v>
      </c>
      <c r="E20" s="186">
        <v>100</v>
      </c>
      <c r="F20" s="187">
        <v>9.3000000000000007</v>
      </c>
      <c r="G20" s="176">
        <v>7.05</v>
      </c>
      <c r="H20" s="186">
        <v>0.53</v>
      </c>
      <c r="I20" s="176">
        <v>2.6</v>
      </c>
      <c r="J20" s="186">
        <v>0.19500000000000001</v>
      </c>
      <c r="K20" s="176">
        <v>7.05</v>
      </c>
      <c r="L20" s="186">
        <v>0.53</v>
      </c>
      <c r="M20" s="176">
        <v>2.6</v>
      </c>
      <c r="N20" s="186">
        <v>0.19500000000000001</v>
      </c>
      <c r="O20" s="192" t="s">
        <v>53</v>
      </c>
      <c r="P20" s="281"/>
    </row>
    <row r="21" spans="1:16" ht="24.6" customHeight="1" x14ac:dyDescent="0.2">
      <c r="B21" s="169" t="s">
        <v>60</v>
      </c>
      <c r="C21" s="176">
        <v>252500</v>
      </c>
      <c r="D21" s="177">
        <v>684.5</v>
      </c>
      <c r="E21" s="186">
        <v>26500</v>
      </c>
      <c r="F21" s="187">
        <v>43</v>
      </c>
      <c r="G21" s="176">
        <v>6.3</v>
      </c>
      <c r="H21" s="186">
        <v>0.48</v>
      </c>
      <c r="I21" s="176">
        <v>1.35</v>
      </c>
      <c r="J21" s="186">
        <v>0.125</v>
      </c>
      <c r="K21" s="176">
        <v>6.3</v>
      </c>
      <c r="L21" s="186">
        <v>0.48</v>
      </c>
      <c r="M21" s="176">
        <v>1.35</v>
      </c>
      <c r="N21" s="186">
        <v>0.125</v>
      </c>
      <c r="O21" s="192" t="s">
        <v>53</v>
      </c>
      <c r="P21" s="281"/>
    </row>
    <row r="22" spans="1:16" ht="24.6" customHeight="1" x14ac:dyDescent="0.2">
      <c r="B22" s="169" t="s">
        <v>61</v>
      </c>
      <c r="C22" s="176">
        <v>271000</v>
      </c>
      <c r="D22" s="177">
        <v>12561</v>
      </c>
      <c r="E22" s="186">
        <v>14750</v>
      </c>
      <c r="F22" s="187">
        <v>367</v>
      </c>
      <c r="G22" s="176"/>
      <c r="H22" s="186"/>
      <c r="I22" s="176"/>
      <c r="J22" s="186"/>
      <c r="K22" s="176"/>
      <c r="L22" s="186"/>
      <c r="M22" s="176"/>
      <c r="N22" s="186"/>
      <c r="O22" s="192" t="s">
        <v>62</v>
      </c>
      <c r="P22" s="281"/>
    </row>
    <row r="23" spans="1:16" customFormat="1" ht="15.75" x14ac:dyDescent="0.2">
      <c r="A23" s="274"/>
      <c r="B23" s="166" t="s">
        <v>432</v>
      </c>
      <c r="C23" s="174">
        <v>150</v>
      </c>
      <c r="D23" s="175">
        <v>6.2</v>
      </c>
      <c r="E23" s="183">
        <v>9</v>
      </c>
      <c r="F23" s="184">
        <v>0.7</v>
      </c>
      <c r="G23" s="174"/>
      <c r="H23" s="183"/>
      <c r="I23" s="174"/>
      <c r="J23" s="183"/>
      <c r="K23" s="174"/>
      <c r="L23" s="183"/>
      <c r="M23" s="174"/>
      <c r="N23" s="183"/>
      <c r="O23" s="192" t="s">
        <v>53</v>
      </c>
      <c r="P23" s="274"/>
    </row>
    <row r="24" spans="1:16" ht="24.6" customHeight="1" x14ac:dyDescent="0.2">
      <c r="B24" s="169" t="s">
        <v>453</v>
      </c>
      <c r="C24" s="176">
        <v>5500</v>
      </c>
      <c r="D24" s="177"/>
      <c r="E24" s="186">
        <v>425.5</v>
      </c>
      <c r="F24" s="187"/>
      <c r="G24" s="176"/>
      <c r="H24" s="186"/>
      <c r="I24" s="176"/>
      <c r="J24" s="186"/>
      <c r="K24" s="176"/>
      <c r="L24" s="186"/>
      <c r="M24" s="176"/>
      <c r="N24" s="186"/>
      <c r="O24" s="192" t="s">
        <v>53</v>
      </c>
      <c r="P24" s="281"/>
    </row>
    <row r="25" spans="1:16" ht="24.6" customHeight="1" x14ac:dyDescent="0.2">
      <c r="B25" s="169" t="s">
        <v>454</v>
      </c>
      <c r="C25" s="176">
        <v>14200</v>
      </c>
      <c r="D25" s="177"/>
      <c r="E25" s="186">
        <v>1100</v>
      </c>
      <c r="F25" s="187"/>
      <c r="G25" s="176"/>
      <c r="H25" s="186"/>
      <c r="I25" s="176"/>
      <c r="J25" s="186"/>
      <c r="K25" s="176"/>
      <c r="L25" s="186"/>
      <c r="M25" s="176"/>
      <c r="N25" s="186"/>
      <c r="O25" s="192" t="s">
        <v>53</v>
      </c>
      <c r="P25" s="281"/>
    </row>
    <row r="26" spans="1:16" ht="24.6" customHeight="1" x14ac:dyDescent="0.2">
      <c r="B26" s="169" t="s">
        <v>455</v>
      </c>
      <c r="C26" s="176">
        <v>2100</v>
      </c>
      <c r="D26" s="177"/>
      <c r="E26" s="186">
        <v>165</v>
      </c>
      <c r="F26" s="187"/>
      <c r="G26" s="176"/>
      <c r="H26" s="186"/>
      <c r="I26" s="176"/>
      <c r="J26" s="186"/>
      <c r="K26" s="176"/>
      <c r="L26" s="186"/>
      <c r="M26" s="176"/>
      <c r="N26" s="186"/>
      <c r="O26" s="192" t="s">
        <v>53</v>
      </c>
      <c r="P26" s="281"/>
    </row>
    <row r="27" spans="1:16" ht="24.6" customHeight="1" x14ac:dyDescent="0.2">
      <c r="B27" s="169" t="s">
        <v>68</v>
      </c>
      <c r="C27" s="176">
        <v>79</v>
      </c>
      <c r="D27" s="177">
        <v>50</v>
      </c>
      <c r="E27" s="186">
        <v>3.05</v>
      </c>
      <c r="F27" s="187">
        <v>2.1</v>
      </c>
      <c r="G27" s="176"/>
      <c r="H27" s="186"/>
      <c r="I27" s="176"/>
      <c r="J27" s="186"/>
      <c r="K27" s="176">
        <v>21.5</v>
      </c>
      <c r="L27" s="186">
        <v>1.6</v>
      </c>
      <c r="M27" s="176">
        <v>6.2</v>
      </c>
      <c r="N27" s="186">
        <v>0.46500000000000002</v>
      </c>
      <c r="O27" s="192" t="s">
        <v>53</v>
      </c>
      <c r="P27" s="281"/>
    </row>
    <row r="28" spans="1:16" ht="24.6" customHeight="1" x14ac:dyDescent="0.2">
      <c r="B28" s="169" t="s">
        <v>435</v>
      </c>
      <c r="C28" s="176">
        <v>81</v>
      </c>
      <c r="D28" s="177">
        <v>50</v>
      </c>
      <c r="E28" s="186">
        <v>2.75</v>
      </c>
      <c r="F28" s="187">
        <v>2.85</v>
      </c>
      <c r="G28" s="176"/>
      <c r="H28" s="186"/>
      <c r="I28" s="176"/>
      <c r="J28" s="186"/>
      <c r="K28" s="176">
        <v>23.9</v>
      </c>
      <c r="L28" s="186">
        <v>1.8</v>
      </c>
      <c r="M28" s="176">
        <v>6.3</v>
      </c>
      <c r="N28" s="186">
        <v>0.47</v>
      </c>
      <c r="O28" s="192" t="s">
        <v>53</v>
      </c>
      <c r="P28" s="281"/>
    </row>
    <row r="29" spans="1:16" ht="24.6" customHeight="1" x14ac:dyDescent="0.2">
      <c r="B29" s="169" t="s">
        <v>71</v>
      </c>
      <c r="C29" s="176">
        <v>85</v>
      </c>
      <c r="D29" s="177">
        <v>39</v>
      </c>
      <c r="E29" s="186">
        <v>3.9</v>
      </c>
      <c r="F29" s="187">
        <v>2.35</v>
      </c>
      <c r="G29" s="176"/>
      <c r="H29" s="186"/>
      <c r="I29" s="176"/>
      <c r="J29" s="186"/>
      <c r="K29" s="176">
        <v>19.649999999999999</v>
      </c>
      <c r="L29" s="186">
        <v>1.5149999999999999</v>
      </c>
      <c r="M29" s="176">
        <v>6.1</v>
      </c>
      <c r="N29" s="186">
        <v>0.46</v>
      </c>
      <c r="O29" s="192" t="s">
        <v>53</v>
      </c>
      <c r="P29" s="281"/>
    </row>
    <row r="30" spans="1:16" customFormat="1" ht="15" x14ac:dyDescent="0.2">
      <c r="A30" s="274"/>
      <c r="B30" s="166" t="s">
        <v>433</v>
      </c>
      <c r="C30" s="174">
        <v>67.5</v>
      </c>
      <c r="D30" s="175">
        <v>50</v>
      </c>
      <c r="E30" s="183">
        <v>2.75</v>
      </c>
      <c r="F30" s="184">
        <v>2.85</v>
      </c>
      <c r="G30" s="174"/>
      <c r="H30" s="183"/>
      <c r="I30" s="174"/>
      <c r="J30" s="183"/>
      <c r="K30" s="174"/>
      <c r="L30" s="183"/>
      <c r="M30" s="174"/>
      <c r="N30" s="183"/>
      <c r="O30" s="191"/>
      <c r="P30" s="274"/>
    </row>
    <row r="31" spans="1:16" customFormat="1" ht="15" x14ac:dyDescent="0.2">
      <c r="A31" s="274"/>
      <c r="B31" s="166" t="s">
        <v>434</v>
      </c>
      <c r="C31" s="174">
        <v>80</v>
      </c>
      <c r="D31" s="175">
        <v>40</v>
      </c>
      <c r="E31" s="183">
        <v>3.2592592592592591</v>
      </c>
      <c r="F31" s="184">
        <v>2.2799999999999998</v>
      </c>
      <c r="G31" s="174"/>
      <c r="H31" s="183"/>
      <c r="I31" s="174"/>
      <c r="J31" s="183"/>
      <c r="K31" s="174"/>
      <c r="L31" s="183"/>
      <c r="M31" s="174"/>
      <c r="N31" s="183"/>
      <c r="O31" s="191"/>
      <c r="P31" s="274"/>
    </row>
    <row r="32" spans="1:16" ht="24.6" customHeight="1" x14ac:dyDescent="0.2">
      <c r="B32" s="169" t="s">
        <v>69</v>
      </c>
      <c r="C32" s="176">
        <v>59</v>
      </c>
      <c r="D32" s="177">
        <v>36</v>
      </c>
      <c r="E32" s="186">
        <v>2.5</v>
      </c>
      <c r="F32" s="187">
        <v>2.15</v>
      </c>
      <c r="G32" s="176"/>
      <c r="H32" s="186"/>
      <c r="I32" s="176"/>
      <c r="J32" s="186"/>
      <c r="K32" s="176">
        <v>14.65</v>
      </c>
      <c r="L32" s="186">
        <v>1.115</v>
      </c>
      <c r="M32" s="176">
        <v>5.95</v>
      </c>
      <c r="N32" s="186">
        <v>0.44500000000000001</v>
      </c>
      <c r="O32" s="192" t="s">
        <v>53</v>
      </c>
      <c r="P32" s="281"/>
    </row>
    <row r="33" spans="1:16" customFormat="1" ht="15" x14ac:dyDescent="0.2">
      <c r="A33" s="274"/>
      <c r="B33" s="166" t="s">
        <v>436</v>
      </c>
      <c r="C33" s="174">
        <v>71.5</v>
      </c>
      <c r="D33" s="175"/>
      <c r="E33" s="183">
        <v>3</v>
      </c>
      <c r="F33" s="184"/>
      <c r="G33" s="174"/>
      <c r="H33" s="183"/>
      <c r="I33" s="174"/>
      <c r="J33" s="183"/>
      <c r="K33" s="174"/>
      <c r="L33" s="183"/>
      <c r="M33" s="174"/>
      <c r="N33" s="183"/>
      <c r="O33" s="191"/>
      <c r="P33" s="274"/>
    </row>
    <row r="34" spans="1:16" customFormat="1" ht="14.25" customHeight="1" x14ac:dyDescent="0.2">
      <c r="A34" s="274"/>
      <c r="B34" s="166" t="s">
        <v>437</v>
      </c>
      <c r="C34" s="174">
        <v>87</v>
      </c>
      <c r="D34" s="175">
        <v>29.6</v>
      </c>
      <c r="E34" s="183">
        <v>3.7</v>
      </c>
      <c r="F34" s="184">
        <v>1.26</v>
      </c>
      <c r="G34" s="174"/>
      <c r="H34" s="183"/>
      <c r="I34" s="174"/>
      <c r="J34" s="183"/>
      <c r="K34" s="174"/>
      <c r="L34" s="183"/>
      <c r="M34" s="174"/>
      <c r="N34" s="183"/>
      <c r="O34" s="191"/>
      <c r="P34" s="274"/>
    </row>
    <row r="35" spans="1:16" ht="24.6" customHeight="1" x14ac:dyDescent="0.2">
      <c r="B35" s="169" t="s">
        <v>72</v>
      </c>
      <c r="C35" s="176">
        <v>109</v>
      </c>
      <c r="D35" s="177"/>
      <c r="E35" s="186">
        <v>4.5</v>
      </c>
      <c r="F35" s="187"/>
      <c r="G35" s="176"/>
      <c r="H35" s="186"/>
      <c r="I35" s="176"/>
      <c r="J35" s="186"/>
      <c r="K35" s="176">
        <v>17.850000000000001</v>
      </c>
      <c r="L35" s="186">
        <v>1.43</v>
      </c>
      <c r="M35" s="176">
        <v>6.95</v>
      </c>
      <c r="N35" s="186">
        <v>0.54</v>
      </c>
      <c r="O35" s="192" t="s">
        <v>53</v>
      </c>
      <c r="P35" s="281"/>
    </row>
    <row r="36" spans="1:16" ht="24" customHeight="1" x14ac:dyDescent="0.2">
      <c r="B36" s="169" t="s">
        <v>77</v>
      </c>
      <c r="C36" s="176">
        <v>94.5</v>
      </c>
      <c r="D36" s="177">
        <v>46.5</v>
      </c>
      <c r="E36" s="186">
        <v>3.8</v>
      </c>
      <c r="F36" s="187">
        <v>2.8</v>
      </c>
      <c r="G36" s="176"/>
      <c r="H36" s="186"/>
      <c r="I36" s="176"/>
      <c r="J36" s="186"/>
      <c r="K36" s="176">
        <v>19</v>
      </c>
      <c r="L36" s="186">
        <v>1.45</v>
      </c>
      <c r="M36" s="176">
        <v>6.1</v>
      </c>
      <c r="N36" s="186">
        <v>0.46</v>
      </c>
      <c r="O36" s="192" t="s">
        <v>53</v>
      </c>
      <c r="P36" s="282"/>
    </row>
    <row r="37" spans="1:16" ht="24.6" customHeight="1" x14ac:dyDescent="0.2">
      <c r="B37" s="169" t="s">
        <v>70</v>
      </c>
      <c r="C37" s="176">
        <v>97</v>
      </c>
      <c r="D37" s="177">
        <v>47.5</v>
      </c>
      <c r="E37" s="186">
        <v>3.8</v>
      </c>
      <c r="F37" s="187">
        <v>2.85</v>
      </c>
      <c r="G37" s="176"/>
      <c r="H37" s="186"/>
      <c r="I37" s="176"/>
      <c r="J37" s="186"/>
      <c r="K37" s="176">
        <v>17.399999999999999</v>
      </c>
      <c r="L37" s="186">
        <v>1.3049999999999999</v>
      </c>
      <c r="M37" s="176">
        <v>6.05</v>
      </c>
      <c r="N37" s="186">
        <v>0.45500000000000002</v>
      </c>
      <c r="O37" s="192" t="s">
        <v>53</v>
      </c>
      <c r="P37" s="281"/>
    </row>
    <row r="38" spans="1:16" ht="24.6" customHeight="1" x14ac:dyDescent="0.2">
      <c r="B38" s="169" t="s">
        <v>78</v>
      </c>
      <c r="C38" s="176">
        <v>108.5</v>
      </c>
      <c r="D38" s="177">
        <v>42.5</v>
      </c>
      <c r="E38" s="186">
        <v>6</v>
      </c>
      <c r="F38" s="187">
        <v>2.5499999999999998</v>
      </c>
      <c r="G38" s="176"/>
      <c r="H38" s="186"/>
      <c r="I38" s="176"/>
      <c r="J38" s="186"/>
      <c r="K38" s="176">
        <v>18.55</v>
      </c>
      <c r="L38" s="186">
        <v>1.4</v>
      </c>
      <c r="M38" s="176">
        <v>6.1</v>
      </c>
      <c r="N38" s="186">
        <v>0.45500000000000002</v>
      </c>
      <c r="O38" s="192" t="s">
        <v>53</v>
      </c>
      <c r="P38" s="282"/>
    </row>
    <row r="39" spans="1:16" ht="24.6" customHeight="1" x14ac:dyDescent="0.2">
      <c r="B39" s="169" t="s">
        <v>73</v>
      </c>
      <c r="C39" s="176">
        <v>122.5</v>
      </c>
      <c r="D39" s="177">
        <v>42.5</v>
      </c>
      <c r="E39" s="186">
        <v>7.95</v>
      </c>
      <c r="F39" s="187">
        <v>2.5549999999999997</v>
      </c>
      <c r="G39" s="176"/>
      <c r="H39" s="186"/>
      <c r="I39" s="176"/>
      <c r="J39" s="186"/>
      <c r="K39" s="176">
        <v>22</v>
      </c>
      <c r="L39" s="186">
        <v>1.625</v>
      </c>
      <c r="M39" s="176">
        <v>6.2</v>
      </c>
      <c r="N39" s="186">
        <v>0.46500000000000002</v>
      </c>
      <c r="O39" s="192" t="s">
        <v>53</v>
      </c>
      <c r="P39" s="281"/>
    </row>
    <row r="40" spans="1:16" ht="24.6" customHeight="1" x14ac:dyDescent="0.2">
      <c r="B40" s="169" t="s">
        <v>451</v>
      </c>
      <c r="C40" s="176">
        <v>51.5</v>
      </c>
      <c r="D40" s="177">
        <v>36.5</v>
      </c>
      <c r="E40" s="186">
        <v>3.6</v>
      </c>
      <c r="F40" s="187">
        <v>2.2000000000000002</v>
      </c>
      <c r="G40" s="176"/>
      <c r="H40" s="186"/>
      <c r="I40" s="176"/>
      <c r="J40" s="186"/>
      <c r="K40" s="176">
        <v>16.2</v>
      </c>
      <c r="L40" s="186">
        <v>1.21</v>
      </c>
      <c r="M40" s="176">
        <v>6</v>
      </c>
      <c r="N40" s="186">
        <v>0.45</v>
      </c>
      <c r="O40" s="192"/>
      <c r="P40" s="281"/>
    </row>
    <row r="41" spans="1:16" ht="24.6" customHeight="1" x14ac:dyDescent="0.2">
      <c r="B41" s="169" t="s">
        <v>452</v>
      </c>
      <c r="C41" s="176">
        <v>71.5</v>
      </c>
      <c r="D41" s="177">
        <v>3</v>
      </c>
      <c r="E41" s="186"/>
      <c r="F41" s="187"/>
      <c r="G41" s="176"/>
      <c r="H41" s="186"/>
      <c r="I41" s="176"/>
      <c r="J41" s="186"/>
      <c r="K41" s="176">
        <v>27</v>
      </c>
      <c r="L41" s="186">
        <v>2.2000000000000002</v>
      </c>
      <c r="M41" s="176"/>
      <c r="N41" s="186"/>
      <c r="O41" s="192"/>
      <c r="P41" s="281"/>
    </row>
    <row r="42" spans="1:16" customFormat="1" ht="15" x14ac:dyDescent="0.2">
      <c r="A42" s="274"/>
      <c r="B42" s="166" t="s">
        <v>438</v>
      </c>
      <c r="C42" s="174">
        <v>79</v>
      </c>
      <c r="D42" s="175"/>
      <c r="E42" s="183">
        <v>3.5999999999999996</v>
      </c>
      <c r="F42" s="184"/>
      <c r="G42" s="174"/>
      <c r="H42" s="183"/>
      <c r="I42" s="174"/>
      <c r="J42" s="183"/>
      <c r="K42" s="174">
        <v>27.5</v>
      </c>
      <c r="L42" s="183">
        <v>2.2000000000000002</v>
      </c>
      <c r="M42" s="174"/>
      <c r="N42" s="183"/>
      <c r="O42" s="191"/>
      <c r="P42" s="274"/>
    </row>
    <row r="43" spans="1:16" ht="24.6" customHeight="1" x14ac:dyDescent="0.2">
      <c r="B43" s="169" t="s">
        <v>75</v>
      </c>
      <c r="C43" s="176">
        <v>67.5</v>
      </c>
      <c r="D43" s="177"/>
      <c r="E43" s="186">
        <v>2.1</v>
      </c>
      <c r="F43" s="187"/>
      <c r="G43" s="176"/>
      <c r="H43" s="186"/>
      <c r="I43" s="176"/>
      <c r="J43" s="186"/>
      <c r="K43" s="176">
        <v>16</v>
      </c>
      <c r="L43" s="186">
        <v>1.3</v>
      </c>
      <c r="M43" s="176"/>
      <c r="N43" s="186"/>
      <c r="O43" s="192" t="s">
        <v>53</v>
      </c>
      <c r="P43" s="282"/>
    </row>
    <row r="44" spans="1:16" ht="24.6" customHeight="1" x14ac:dyDescent="0.2">
      <c r="B44" s="196" t="s">
        <v>76</v>
      </c>
      <c r="C44" s="176">
        <v>118</v>
      </c>
      <c r="D44" s="177"/>
      <c r="E44" s="186">
        <v>6.6</v>
      </c>
      <c r="F44" s="187"/>
      <c r="G44" s="176"/>
      <c r="H44" s="186"/>
      <c r="I44" s="176"/>
      <c r="J44" s="186"/>
      <c r="K44" s="176">
        <v>15</v>
      </c>
      <c r="L44" s="186">
        <v>1.3</v>
      </c>
      <c r="M44" s="176"/>
      <c r="N44" s="186"/>
      <c r="O44" s="192" t="s">
        <v>53</v>
      </c>
      <c r="P44" s="282"/>
    </row>
    <row r="45" spans="1:16" ht="30" x14ac:dyDescent="0.2">
      <c r="B45" s="196" t="s">
        <v>74</v>
      </c>
      <c r="C45" s="176">
        <v>79</v>
      </c>
      <c r="D45" s="177">
        <v>46</v>
      </c>
      <c r="E45" s="186">
        <v>2.1</v>
      </c>
      <c r="F45" s="187">
        <v>2.8</v>
      </c>
      <c r="G45" s="176"/>
      <c r="H45" s="186"/>
      <c r="I45" s="176"/>
      <c r="J45" s="186"/>
      <c r="K45" s="176">
        <v>14.5</v>
      </c>
      <c r="L45" s="186">
        <v>1.1499999999999999</v>
      </c>
      <c r="M45" s="176">
        <v>5.7</v>
      </c>
      <c r="N45" s="186">
        <v>0.45500000000000002</v>
      </c>
      <c r="O45" s="192" t="s">
        <v>53</v>
      </c>
      <c r="P45" s="281"/>
    </row>
    <row r="46" spans="1:16" ht="24.6" customHeight="1" x14ac:dyDescent="0.2">
      <c r="B46" s="167" t="s">
        <v>65</v>
      </c>
      <c r="C46" s="174">
        <v>51.5</v>
      </c>
      <c r="D46" s="175">
        <v>1.1499999999999999</v>
      </c>
      <c r="E46" s="183">
        <v>19.5</v>
      </c>
      <c r="F46" s="185">
        <v>0.76</v>
      </c>
      <c r="G46" s="174"/>
      <c r="H46" s="183"/>
      <c r="I46" s="174"/>
      <c r="J46" s="183"/>
      <c r="K46" s="174">
        <v>0.49</v>
      </c>
      <c r="L46" s="183">
        <v>2.4500000000000001E-2</v>
      </c>
      <c r="M46" s="174"/>
      <c r="N46" s="183"/>
      <c r="O46" s="192" t="s">
        <v>483</v>
      </c>
      <c r="P46" s="281"/>
    </row>
    <row r="47" spans="1:16" ht="31.5" x14ac:dyDescent="0.2">
      <c r="B47" s="167" t="s">
        <v>66</v>
      </c>
      <c r="C47" s="174">
        <v>65.5</v>
      </c>
      <c r="D47" s="175"/>
      <c r="E47" s="183">
        <v>3.5149999999999997</v>
      </c>
      <c r="F47" s="185"/>
      <c r="G47" s="174"/>
      <c r="H47" s="183"/>
      <c r="I47" s="174"/>
      <c r="J47" s="183"/>
      <c r="K47" s="176">
        <v>2.605</v>
      </c>
      <c r="L47" s="186">
        <v>0.20799999999999999</v>
      </c>
      <c r="M47" s="174">
        <v>39.549999999999997</v>
      </c>
      <c r="N47" s="183">
        <v>3.2149999999999999</v>
      </c>
      <c r="O47" s="204" t="s">
        <v>485</v>
      </c>
      <c r="P47" s="281"/>
    </row>
    <row r="48" spans="1:16" ht="15.75" x14ac:dyDescent="0.2">
      <c r="B48" s="169" t="s">
        <v>67</v>
      </c>
      <c r="C48" s="176">
        <v>46</v>
      </c>
      <c r="D48" s="177"/>
      <c r="E48" s="186">
        <v>2.5499999999999998</v>
      </c>
      <c r="F48" s="187"/>
      <c r="G48" s="176"/>
      <c r="H48" s="186"/>
      <c r="I48" s="176"/>
      <c r="J48" s="186"/>
      <c r="K48" s="176">
        <v>2.605</v>
      </c>
      <c r="L48" s="186">
        <v>0.20799999999999999</v>
      </c>
      <c r="M48" s="176"/>
      <c r="N48" s="186"/>
      <c r="O48" s="192" t="s">
        <v>484</v>
      </c>
      <c r="P48" s="281"/>
    </row>
    <row r="49" spans="2:16" ht="31.5" x14ac:dyDescent="0.2">
      <c r="B49" s="195" t="s">
        <v>457</v>
      </c>
      <c r="C49" s="176"/>
      <c r="D49" s="177"/>
      <c r="E49" s="186"/>
      <c r="F49" s="187"/>
      <c r="G49" s="176"/>
      <c r="H49" s="186"/>
      <c r="I49" s="176"/>
      <c r="J49" s="186"/>
      <c r="K49" s="176"/>
      <c r="L49" s="186"/>
      <c r="M49" s="176"/>
      <c r="N49" s="186"/>
      <c r="O49" s="192"/>
      <c r="P49" s="282"/>
    </row>
    <row r="50" spans="2:16" ht="30" x14ac:dyDescent="0.2">
      <c r="B50" s="196" t="s">
        <v>456</v>
      </c>
      <c r="C50" s="176">
        <v>4783</v>
      </c>
      <c r="D50" s="177"/>
      <c r="E50" s="197">
        <v>274</v>
      </c>
      <c r="F50" s="187"/>
      <c r="G50" s="176"/>
      <c r="H50" s="197"/>
      <c r="I50" s="176"/>
      <c r="J50" s="197"/>
      <c r="K50" s="176"/>
      <c r="L50" s="197"/>
      <c r="M50" s="176"/>
      <c r="N50" s="197"/>
      <c r="O50" s="192" t="s">
        <v>473</v>
      </c>
      <c r="P50" s="282"/>
    </row>
    <row r="51" spans="2:16" ht="24.6" customHeight="1" x14ac:dyDescent="0.2">
      <c r="B51" s="196" t="s">
        <v>458</v>
      </c>
      <c r="C51" s="176">
        <v>3013</v>
      </c>
      <c r="D51" s="177"/>
      <c r="E51" s="197">
        <v>250</v>
      </c>
      <c r="F51" s="187"/>
      <c r="G51" s="176"/>
      <c r="H51" s="197"/>
      <c r="I51" s="176"/>
      <c r="J51" s="197"/>
      <c r="K51" s="176"/>
      <c r="L51" s="197"/>
      <c r="M51" s="176"/>
      <c r="N51" s="197"/>
      <c r="O51" s="192" t="s">
        <v>473</v>
      </c>
      <c r="P51" s="282"/>
    </row>
    <row r="52" spans="2:16" ht="30" x14ac:dyDescent="0.2">
      <c r="B52" s="196" t="s">
        <v>459</v>
      </c>
      <c r="C52" s="176">
        <v>3000</v>
      </c>
      <c r="D52" s="177"/>
      <c r="E52" s="197">
        <v>300</v>
      </c>
      <c r="F52" s="187"/>
      <c r="G52" s="176"/>
      <c r="H52" s="197"/>
      <c r="I52" s="176"/>
      <c r="J52" s="197"/>
      <c r="K52" s="176"/>
      <c r="L52" s="197"/>
      <c r="M52" s="176"/>
      <c r="N52" s="197"/>
      <c r="O52" s="192" t="s">
        <v>53</v>
      </c>
      <c r="P52" s="282"/>
    </row>
    <row r="53" spans="2:16" ht="24.6" customHeight="1" x14ac:dyDescent="0.2">
      <c r="B53" s="196" t="s">
        <v>460</v>
      </c>
      <c r="C53" s="176">
        <v>3350</v>
      </c>
      <c r="D53" s="177"/>
      <c r="E53" s="197">
        <v>335</v>
      </c>
      <c r="F53" s="187"/>
      <c r="G53" s="176"/>
      <c r="H53" s="197"/>
      <c r="I53" s="176"/>
      <c r="J53" s="197"/>
      <c r="K53" s="176"/>
      <c r="L53" s="197"/>
      <c r="M53" s="176"/>
      <c r="N53" s="197"/>
      <c r="O53" s="192" t="s">
        <v>53</v>
      </c>
      <c r="P53" s="282"/>
    </row>
    <row r="54" spans="2:16" ht="24.6" customHeight="1" x14ac:dyDescent="0.2">
      <c r="B54" s="196" t="s">
        <v>461</v>
      </c>
      <c r="C54" s="176">
        <v>907</v>
      </c>
      <c r="D54" s="177"/>
      <c r="E54" s="197">
        <v>68</v>
      </c>
      <c r="F54" s="187"/>
      <c r="G54" s="176"/>
      <c r="H54" s="197"/>
      <c r="I54" s="176"/>
      <c r="J54" s="197"/>
      <c r="K54" s="176"/>
      <c r="L54" s="197"/>
      <c r="M54" s="176"/>
      <c r="N54" s="197"/>
      <c r="O54" s="192" t="s">
        <v>473</v>
      </c>
      <c r="P54" s="282"/>
    </row>
    <row r="55" spans="2:16" ht="24.6" customHeight="1" x14ac:dyDescent="0.2">
      <c r="B55" s="195" t="s">
        <v>462</v>
      </c>
      <c r="C55" s="176"/>
      <c r="D55" s="177"/>
      <c r="E55" s="197"/>
      <c r="F55" s="187"/>
      <c r="G55" s="176"/>
      <c r="H55" s="197"/>
      <c r="I55" s="176"/>
      <c r="J55" s="197"/>
      <c r="K55" s="176"/>
      <c r="L55" s="197"/>
      <c r="M55" s="176"/>
      <c r="N55" s="197"/>
      <c r="O55" s="192"/>
      <c r="P55" s="282"/>
    </row>
    <row r="56" spans="2:16" ht="45" x14ac:dyDescent="0.2">
      <c r="B56" s="196" t="s">
        <v>464</v>
      </c>
      <c r="C56" s="176">
        <v>2830</v>
      </c>
      <c r="D56" s="177"/>
      <c r="E56" s="197">
        <v>162</v>
      </c>
      <c r="F56" s="187"/>
      <c r="G56" s="176"/>
      <c r="H56" s="197"/>
      <c r="I56" s="176"/>
      <c r="J56" s="197"/>
      <c r="K56" s="176"/>
      <c r="L56" s="197"/>
      <c r="M56" s="176"/>
      <c r="N56" s="197"/>
      <c r="O56" s="192" t="s">
        <v>473</v>
      </c>
      <c r="P56" s="282"/>
    </row>
    <row r="57" spans="2:16" ht="30" x14ac:dyDescent="0.2">
      <c r="B57" s="196" t="s">
        <v>463</v>
      </c>
      <c r="C57" s="176">
        <v>4670</v>
      </c>
      <c r="D57" s="177"/>
      <c r="E57" s="197">
        <v>267</v>
      </c>
      <c r="F57" s="187"/>
      <c r="G57" s="176"/>
      <c r="H57" s="197"/>
      <c r="I57" s="176"/>
      <c r="J57" s="197"/>
      <c r="K57" s="176"/>
      <c r="L57" s="197"/>
      <c r="M57" s="176"/>
      <c r="N57" s="197"/>
      <c r="O57" s="192" t="s">
        <v>473</v>
      </c>
      <c r="P57" s="282"/>
    </row>
    <row r="58" spans="2:16" ht="24.6" customHeight="1" x14ac:dyDescent="0.2">
      <c r="B58" s="196" t="s">
        <v>465</v>
      </c>
      <c r="C58" s="176">
        <v>141</v>
      </c>
      <c r="D58" s="177"/>
      <c r="E58" s="197">
        <v>8</v>
      </c>
      <c r="F58" s="187"/>
      <c r="G58" s="176"/>
      <c r="H58" s="197"/>
      <c r="I58" s="176"/>
      <c r="J58" s="197"/>
      <c r="K58" s="176"/>
      <c r="L58" s="197"/>
      <c r="M58" s="176"/>
      <c r="N58" s="197"/>
      <c r="O58" s="192" t="s">
        <v>53</v>
      </c>
      <c r="P58" s="282"/>
    </row>
    <row r="59" spans="2:16" ht="24.6" customHeight="1" x14ac:dyDescent="0.2">
      <c r="B59" s="196" t="s">
        <v>466</v>
      </c>
      <c r="C59" s="176">
        <v>200</v>
      </c>
      <c r="D59" s="177"/>
      <c r="E59" s="197">
        <v>10</v>
      </c>
      <c r="F59" s="187"/>
      <c r="G59" s="176"/>
      <c r="H59" s="197"/>
      <c r="I59" s="176"/>
      <c r="J59" s="197"/>
      <c r="K59" s="176"/>
      <c r="L59" s="197"/>
      <c r="M59" s="176"/>
      <c r="N59" s="197"/>
      <c r="O59" s="192" t="s">
        <v>53</v>
      </c>
      <c r="P59" s="282"/>
    </row>
    <row r="60" spans="2:16" ht="24.6" customHeight="1" x14ac:dyDescent="0.2">
      <c r="B60" s="196" t="s">
        <v>467</v>
      </c>
      <c r="C60" s="176">
        <v>574</v>
      </c>
      <c r="D60" s="177"/>
      <c r="E60" s="197">
        <v>30</v>
      </c>
      <c r="F60" s="187"/>
      <c r="G60" s="176"/>
      <c r="H60" s="197"/>
      <c r="I60" s="176"/>
      <c r="J60" s="197"/>
      <c r="K60" s="176"/>
      <c r="L60" s="197"/>
      <c r="M60" s="176"/>
      <c r="N60" s="197"/>
      <c r="O60" s="192" t="s">
        <v>473</v>
      </c>
      <c r="P60" s="282"/>
    </row>
    <row r="61" spans="2:16" ht="24.6" customHeight="1" x14ac:dyDescent="0.2">
      <c r="B61" s="196" t="s">
        <v>468</v>
      </c>
      <c r="C61" s="176">
        <v>254</v>
      </c>
      <c r="D61" s="177"/>
      <c r="E61" s="197">
        <v>12</v>
      </c>
      <c r="F61" s="187"/>
      <c r="G61" s="176"/>
      <c r="H61" s="197"/>
      <c r="I61" s="176"/>
      <c r="J61" s="197"/>
      <c r="K61" s="176"/>
      <c r="L61" s="197"/>
      <c r="M61" s="176"/>
      <c r="N61" s="197"/>
      <c r="O61" s="192" t="s">
        <v>473</v>
      </c>
      <c r="P61" s="282"/>
    </row>
    <row r="62" spans="2:16" ht="24.6" customHeight="1" x14ac:dyDescent="0.2">
      <c r="B62" s="196" t="s">
        <v>469</v>
      </c>
      <c r="C62" s="176">
        <v>468</v>
      </c>
      <c r="D62" s="177"/>
      <c r="E62" s="197">
        <v>27</v>
      </c>
      <c r="F62" s="187"/>
      <c r="G62" s="176"/>
      <c r="H62" s="197"/>
      <c r="I62" s="176"/>
      <c r="J62" s="197"/>
      <c r="K62" s="176"/>
      <c r="L62" s="197"/>
      <c r="M62" s="176"/>
      <c r="N62" s="197"/>
      <c r="O62" s="192" t="s">
        <v>473</v>
      </c>
      <c r="P62" s="282"/>
    </row>
    <row r="63" spans="2:16" ht="30" x14ac:dyDescent="0.2">
      <c r="B63" s="196" t="s">
        <v>470</v>
      </c>
      <c r="C63" s="176">
        <v>93</v>
      </c>
      <c r="D63" s="177"/>
      <c r="E63" s="197">
        <v>6</v>
      </c>
      <c r="F63" s="187"/>
      <c r="G63" s="176"/>
      <c r="H63" s="197"/>
      <c r="I63" s="176"/>
      <c r="J63" s="197"/>
      <c r="K63" s="176"/>
      <c r="L63" s="197"/>
      <c r="M63" s="176"/>
      <c r="N63" s="197"/>
      <c r="O63" s="192" t="s">
        <v>473</v>
      </c>
      <c r="P63" s="282"/>
    </row>
    <row r="64" spans="2:16" ht="24.6" customHeight="1" x14ac:dyDescent="0.2">
      <c r="B64" s="196" t="s">
        <v>471</v>
      </c>
      <c r="C64" s="176">
        <v>217.5</v>
      </c>
      <c r="D64" s="177"/>
      <c r="E64" s="197">
        <v>10.5</v>
      </c>
      <c r="F64" s="187"/>
      <c r="G64" s="176"/>
      <c r="H64" s="197"/>
      <c r="I64" s="176"/>
      <c r="J64" s="197"/>
      <c r="K64" s="176"/>
      <c r="L64" s="197"/>
      <c r="M64" s="176"/>
      <c r="N64" s="197"/>
      <c r="O64" s="192" t="s">
        <v>53</v>
      </c>
      <c r="P64" s="282"/>
    </row>
    <row r="65" spans="1:16" customFormat="1" ht="15" x14ac:dyDescent="0.2">
      <c r="A65" s="274"/>
      <c r="B65" s="170" t="s">
        <v>423</v>
      </c>
      <c r="C65" s="174">
        <v>248.76</v>
      </c>
      <c r="D65" s="175"/>
      <c r="E65" s="183"/>
      <c r="F65" s="188"/>
      <c r="G65" s="174"/>
      <c r="H65" s="183"/>
      <c r="I65" s="174"/>
      <c r="J65" s="183"/>
      <c r="K65" s="174"/>
      <c r="L65" s="183"/>
      <c r="M65" s="174"/>
      <c r="N65" s="183"/>
      <c r="O65" s="198" t="s">
        <v>472</v>
      </c>
      <c r="P65" s="274"/>
    </row>
    <row r="66" spans="1:16" customFormat="1" ht="15" x14ac:dyDescent="0.2">
      <c r="A66" s="274"/>
      <c r="B66" s="170" t="s">
        <v>439</v>
      </c>
      <c r="C66" s="174">
        <v>864.82799999999997</v>
      </c>
      <c r="D66" s="175"/>
      <c r="E66" s="183"/>
      <c r="F66" s="188"/>
      <c r="G66" s="174"/>
      <c r="H66" s="183"/>
      <c r="I66" s="174"/>
      <c r="J66" s="183"/>
      <c r="K66" s="174"/>
      <c r="L66" s="183"/>
      <c r="M66" s="174"/>
      <c r="N66" s="183"/>
      <c r="O66" s="198" t="s">
        <v>472</v>
      </c>
      <c r="P66" s="274"/>
    </row>
    <row r="67" spans="1:16" customFormat="1" ht="15" x14ac:dyDescent="0.2">
      <c r="A67" s="274"/>
      <c r="B67" s="170" t="s">
        <v>424</v>
      </c>
      <c r="C67" s="174">
        <v>251.316</v>
      </c>
      <c r="D67" s="175"/>
      <c r="E67" s="183"/>
      <c r="F67" s="188"/>
      <c r="G67" s="174"/>
      <c r="H67" s="183"/>
      <c r="I67" s="174"/>
      <c r="J67" s="183"/>
      <c r="K67" s="174"/>
      <c r="L67" s="183"/>
      <c r="M67" s="174"/>
      <c r="N67" s="183"/>
      <c r="O67" s="198" t="s">
        <v>472</v>
      </c>
      <c r="P67" s="274"/>
    </row>
    <row r="68" spans="1:16" customFormat="1" ht="15" x14ac:dyDescent="0.2">
      <c r="A68" s="274"/>
      <c r="B68" s="170" t="s">
        <v>425</v>
      </c>
      <c r="C68" s="174">
        <v>500.07600000000002</v>
      </c>
      <c r="D68" s="175"/>
      <c r="E68" s="183"/>
      <c r="F68" s="188"/>
      <c r="G68" s="174"/>
      <c r="H68" s="183"/>
      <c r="I68" s="174"/>
      <c r="J68" s="183"/>
      <c r="K68" s="174"/>
      <c r="L68" s="183"/>
      <c r="M68" s="174"/>
      <c r="N68" s="183"/>
      <c r="O68" s="198" t="s">
        <v>472</v>
      </c>
      <c r="P68" s="274"/>
    </row>
    <row r="69" spans="1:16" customFormat="1" ht="15" x14ac:dyDescent="0.2">
      <c r="A69" s="274"/>
      <c r="B69" s="170" t="s">
        <v>440</v>
      </c>
      <c r="C69" s="174">
        <v>441.43200000000002</v>
      </c>
      <c r="D69" s="175"/>
      <c r="E69" s="183"/>
      <c r="F69" s="188"/>
      <c r="G69" s="174"/>
      <c r="H69" s="183"/>
      <c r="I69" s="174"/>
      <c r="J69" s="183"/>
      <c r="K69" s="174"/>
      <c r="L69" s="183"/>
      <c r="M69" s="174"/>
      <c r="N69" s="183"/>
      <c r="O69" s="198" t="s">
        <v>472</v>
      </c>
      <c r="P69" s="274"/>
    </row>
    <row r="70" spans="1:16" customFormat="1" ht="15" x14ac:dyDescent="0.2">
      <c r="A70" s="274"/>
      <c r="B70" s="170" t="s">
        <v>441</v>
      </c>
      <c r="C70" s="174">
        <v>1666.6559999999999</v>
      </c>
      <c r="D70" s="175"/>
      <c r="E70" s="183"/>
      <c r="F70" s="188"/>
      <c r="G70" s="174"/>
      <c r="H70" s="183"/>
      <c r="I70" s="174"/>
      <c r="J70" s="183"/>
      <c r="K70" s="174"/>
      <c r="L70" s="183"/>
      <c r="M70" s="174"/>
      <c r="N70" s="183"/>
      <c r="O70" s="198" t="s">
        <v>472</v>
      </c>
      <c r="P70" s="274"/>
    </row>
    <row r="71" spans="1:16" customFormat="1" ht="15" x14ac:dyDescent="0.2">
      <c r="A71" s="274"/>
      <c r="B71" s="170" t="s">
        <v>442</v>
      </c>
      <c r="C71" s="174">
        <v>853.17110000000002</v>
      </c>
      <c r="D71" s="175"/>
      <c r="E71" s="183"/>
      <c r="F71" s="188"/>
      <c r="G71" s="174"/>
      <c r="H71" s="183"/>
      <c r="I71" s="174"/>
      <c r="J71" s="183"/>
      <c r="K71" s="174"/>
      <c r="L71" s="183"/>
      <c r="M71" s="174"/>
      <c r="N71" s="183"/>
      <c r="O71" s="198" t="s">
        <v>472</v>
      </c>
      <c r="P71" s="274"/>
    </row>
    <row r="72" spans="1:16" customFormat="1" ht="15" x14ac:dyDescent="0.2">
      <c r="A72" s="274"/>
      <c r="B72" s="166" t="s">
        <v>443</v>
      </c>
      <c r="C72" s="178"/>
      <c r="D72" s="175">
        <v>1.8</v>
      </c>
      <c r="E72" s="183"/>
      <c r="F72" s="188">
        <v>0.2</v>
      </c>
      <c r="G72" s="178"/>
      <c r="H72" s="183"/>
      <c r="I72" s="178"/>
      <c r="J72" s="183"/>
      <c r="K72" s="178"/>
      <c r="L72" s="183"/>
      <c r="M72" s="178"/>
      <c r="N72" s="183"/>
      <c r="O72" s="198" t="s">
        <v>472</v>
      </c>
      <c r="P72" s="274"/>
    </row>
    <row r="73" spans="1:16" customFormat="1" ht="15" x14ac:dyDescent="0.2">
      <c r="A73" s="274"/>
      <c r="B73" s="166" t="s">
        <v>444</v>
      </c>
      <c r="C73" s="178"/>
      <c r="D73" s="175"/>
      <c r="E73" s="183"/>
      <c r="F73" s="188"/>
      <c r="G73" s="178"/>
      <c r="H73" s="183"/>
      <c r="I73" s="178"/>
      <c r="J73" s="183"/>
      <c r="K73" s="178"/>
      <c r="L73" s="183"/>
      <c r="M73" s="178"/>
      <c r="N73" s="183"/>
      <c r="O73" s="198" t="s">
        <v>472</v>
      </c>
      <c r="P73" s="274"/>
    </row>
    <row r="74" spans="1:16" customFormat="1" ht="15.75" thickBot="1" x14ac:dyDescent="0.25">
      <c r="A74" s="274"/>
      <c r="B74" s="171" t="s">
        <v>445</v>
      </c>
      <c r="C74" s="179">
        <v>11880</v>
      </c>
      <c r="D74" s="180"/>
      <c r="E74" s="189">
        <v>1723</v>
      </c>
      <c r="F74" s="190">
        <v>0</v>
      </c>
      <c r="G74" s="179"/>
      <c r="H74" s="189"/>
      <c r="I74" s="179"/>
      <c r="J74" s="189"/>
      <c r="K74" s="179"/>
      <c r="L74" s="189"/>
      <c r="M74" s="179"/>
      <c r="N74" s="189"/>
      <c r="O74" s="193" t="s">
        <v>472</v>
      </c>
      <c r="P74" s="274"/>
    </row>
    <row r="75" spans="1:16" s="245" customFormat="1" ht="15.75" x14ac:dyDescent="0.2">
      <c r="B75" s="284"/>
      <c r="C75" s="285"/>
      <c r="D75" s="285"/>
      <c r="E75" s="280"/>
      <c r="F75" s="280"/>
      <c r="G75" s="285"/>
      <c r="H75" s="280"/>
      <c r="I75" s="285"/>
      <c r="J75" s="280"/>
      <c r="K75" s="285"/>
      <c r="L75" s="280"/>
      <c r="M75" s="285"/>
      <c r="N75" s="280"/>
      <c r="O75" s="280"/>
      <c r="P75" s="282"/>
    </row>
    <row r="76" spans="1:16" s="245" customFormat="1" ht="23.45" customHeight="1" x14ac:dyDescent="0.2">
      <c r="B76" s="286" t="s">
        <v>79</v>
      </c>
      <c r="C76" s="279" t="s">
        <v>80</v>
      </c>
      <c r="D76" s="275"/>
      <c r="G76" s="279" t="s">
        <v>80</v>
      </c>
      <c r="I76" s="279" t="s">
        <v>80</v>
      </c>
      <c r="K76" s="279" t="s">
        <v>80</v>
      </c>
      <c r="M76" s="279" t="s">
        <v>80</v>
      </c>
      <c r="P76" s="282"/>
    </row>
    <row r="77" spans="1:16" s="245" customFormat="1" ht="23.45" customHeight="1" x14ac:dyDescent="0.2">
      <c r="B77" s="287"/>
      <c r="C77" s="278" t="s">
        <v>81</v>
      </c>
      <c r="D77" s="275"/>
      <c r="G77" s="278" t="s">
        <v>81</v>
      </c>
      <c r="I77" s="278" t="s">
        <v>81</v>
      </c>
      <c r="K77" s="278" t="s">
        <v>81</v>
      </c>
      <c r="M77" s="278" t="s">
        <v>81</v>
      </c>
      <c r="P77" s="283"/>
    </row>
    <row r="78" spans="1:16" s="245" customFormat="1" x14ac:dyDescent="0.2">
      <c r="B78" s="287"/>
      <c r="C78" s="275"/>
      <c r="D78" s="275"/>
      <c r="G78" s="275"/>
      <c r="I78" s="275"/>
      <c r="K78" s="275"/>
      <c r="M78" s="275"/>
      <c r="P78" s="283"/>
    </row>
    <row r="79" spans="1:16" hidden="1" x14ac:dyDescent="0.2">
      <c r="B79" s="4"/>
      <c r="P79" s="283"/>
    </row>
    <row r="80" spans="1:16" hidden="1" x14ac:dyDescent="0.2">
      <c r="B80" s="4"/>
      <c r="P80" s="283"/>
    </row>
    <row r="81" spans="2:16" hidden="1" x14ac:dyDescent="0.2">
      <c r="B81" s="4"/>
      <c r="P81" s="283"/>
    </row>
    <row r="82" spans="2:16" hidden="1" x14ac:dyDescent="0.2">
      <c r="B82" s="4"/>
      <c r="P82" s="283"/>
    </row>
    <row r="83" spans="2:16" hidden="1" x14ac:dyDescent="0.2">
      <c r="B83" s="4"/>
      <c r="P83" s="283"/>
    </row>
    <row r="84" spans="2:16" hidden="1" x14ac:dyDescent="0.2">
      <c r="B84" s="4"/>
      <c r="P84" s="283"/>
    </row>
    <row r="85" spans="2:16" hidden="1" x14ac:dyDescent="0.2">
      <c r="B85" s="4"/>
      <c r="P85" s="283"/>
    </row>
    <row r="86" spans="2:16" hidden="1" x14ac:dyDescent="0.2">
      <c r="B86" s="4"/>
      <c r="P86" s="283"/>
    </row>
    <row r="87" spans="2:16" hidden="1" x14ac:dyDescent="0.2">
      <c r="B87" s="4"/>
      <c r="P87" s="283"/>
    </row>
    <row r="88" spans="2:16" hidden="1" x14ac:dyDescent="0.2">
      <c r="B88" s="4"/>
      <c r="P88" s="283"/>
    </row>
    <row r="89" spans="2:16" hidden="1" x14ac:dyDescent="0.2">
      <c r="B89" s="4"/>
      <c r="P89" s="283"/>
    </row>
    <row r="90" spans="2:16" hidden="1" x14ac:dyDescent="0.2">
      <c r="B90" s="4"/>
      <c r="P90" s="283"/>
    </row>
    <row r="91" spans="2:16" hidden="1" x14ac:dyDescent="0.2">
      <c r="B91" s="4"/>
      <c r="P91" s="283"/>
    </row>
    <row r="92" spans="2:16" hidden="1" x14ac:dyDescent="0.2">
      <c r="B92" s="4"/>
      <c r="P92" s="283"/>
    </row>
    <row r="93" spans="2:16" hidden="1" x14ac:dyDescent="0.2">
      <c r="B93" s="4"/>
      <c r="P93" s="283"/>
    </row>
    <row r="94" spans="2:16" hidden="1" x14ac:dyDescent="0.2">
      <c r="B94" s="4"/>
      <c r="P94" s="283"/>
    </row>
    <row r="95" spans="2:16" hidden="1" x14ac:dyDescent="0.2">
      <c r="B95" s="4"/>
      <c r="P95" s="283"/>
    </row>
    <row r="96" spans="2:16" hidden="1" x14ac:dyDescent="0.2">
      <c r="B96" s="4"/>
      <c r="P96" s="283"/>
    </row>
    <row r="97" spans="2:16" hidden="1" x14ac:dyDescent="0.2">
      <c r="B97" s="4"/>
      <c r="P97" s="283"/>
    </row>
    <row r="98" spans="2:16" hidden="1" x14ac:dyDescent="0.2">
      <c r="B98" s="4"/>
      <c r="P98" s="283"/>
    </row>
    <row r="99" spans="2:16" hidden="1" x14ac:dyDescent="0.2">
      <c r="B99" s="4"/>
      <c r="P99" s="283"/>
    </row>
    <row r="100" spans="2:16" hidden="1" x14ac:dyDescent="0.2">
      <c r="B100" s="4"/>
      <c r="P100" s="283"/>
    </row>
    <row r="101" spans="2:16" hidden="1" x14ac:dyDescent="0.2">
      <c r="B101" s="4"/>
      <c r="P101" s="283"/>
    </row>
    <row r="102" spans="2:16" hidden="1" x14ac:dyDescent="0.2">
      <c r="B102" s="4"/>
      <c r="P102" s="283"/>
    </row>
    <row r="103" spans="2:16" hidden="1" x14ac:dyDescent="0.2">
      <c r="B103" s="4"/>
      <c r="P103" s="283"/>
    </row>
    <row r="104" spans="2:16" hidden="1" x14ac:dyDescent="0.2">
      <c r="B104" s="4"/>
      <c r="P104" s="283"/>
    </row>
    <row r="105" spans="2:16" hidden="1" x14ac:dyDescent="0.2">
      <c r="B105" s="4"/>
      <c r="P105" s="283"/>
    </row>
    <row r="106" spans="2:16" hidden="1" x14ac:dyDescent="0.2">
      <c r="B106" s="4"/>
    </row>
    <row r="107" spans="2:16" hidden="1" x14ac:dyDescent="0.2">
      <c r="B107" s="4"/>
    </row>
  </sheetData>
  <mergeCells count="7">
    <mergeCell ref="C4:D4"/>
    <mergeCell ref="E4:F4"/>
    <mergeCell ref="O4:O5"/>
    <mergeCell ref="G4:H4"/>
    <mergeCell ref="I4:J4"/>
    <mergeCell ref="K4:L4"/>
    <mergeCell ref="M4:N4"/>
  </mergeCells>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17FB1-2833-4E9A-B813-3867300955E4}">
  <dimension ref="A1:G46"/>
  <sheetViews>
    <sheetView zoomScaleNormal="100" workbookViewId="0"/>
  </sheetViews>
  <sheetFormatPr defaultColWidth="0" defaultRowHeight="12.75" zeroHeight="1" x14ac:dyDescent="0.2"/>
  <cols>
    <col min="1" max="1" width="26.28515625" bestFit="1" customWidth="1"/>
    <col min="2" max="2" width="19.5703125" style="7" customWidth="1"/>
    <col min="3" max="3" width="19.5703125" style="2" customWidth="1"/>
    <col min="4" max="4" width="19.5703125" style="7" customWidth="1"/>
    <col min="5" max="5" width="19.5703125" style="2" customWidth="1"/>
    <col min="6" max="6" width="51.28515625" bestFit="1" customWidth="1"/>
    <col min="7" max="7" width="9.140625" style="274" customWidth="1"/>
    <col min="8" max="16384" width="9.140625" hidden="1"/>
  </cols>
  <sheetData>
    <row r="1" spans="1:6" s="274" customFormat="1" x14ac:dyDescent="0.2">
      <c r="B1" s="275"/>
      <c r="C1" s="245"/>
      <c r="D1" s="275"/>
      <c r="E1" s="245"/>
    </row>
    <row r="2" spans="1:6" s="274" customFormat="1" ht="15" x14ac:dyDescent="0.2">
      <c r="B2" s="278"/>
      <c r="C2" s="279"/>
      <c r="D2" s="278"/>
      <c r="E2" s="279"/>
    </row>
    <row r="3" spans="1:6" s="274" customFormat="1" ht="16.5" thickBot="1" x14ac:dyDescent="0.25">
      <c r="B3" s="288" t="s">
        <v>486</v>
      </c>
      <c r="C3" s="288"/>
      <c r="D3" s="288"/>
      <c r="E3" s="288"/>
    </row>
    <row r="4" spans="1:6" ht="15.75" x14ac:dyDescent="0.2">
      <c r="A4" s="208"/>
      <c r="B4" s="226" t="s">
        <v>494</v>
      </c>
      <c r="C4" s="225"/>
      <c r="D4" s="224" t="s">
        <v>523</v>
      </c>
      <c r="E4" s="226"/>
      <c r="F4" s="222" t="s">
        <v>48</v>
      </c>
    </row>
    <row r="5" spans="1:6" ht="31.5" customHeight="1" x14ac:dyDescent="0.2">
      <c r="A5" s="198" t="s">
        <v>106</v>
      </c>
      <c r="B5" s="161" t="s">
        <v>525</v>
      </c>
      <c r="C5" s="181" t="s">
        <v>527</v>
      </c>
      <c r="D5" s="172" t="s">
        <v>525</v>
      </c>
      <c r="E5" s="199" t="s">
        <v>526</v>
      </c>
      <c r="F5" s="223"/>
    </row>
    <row r="6" spans="1:6" ht="15" customHeight="1" x14ac:dyDescent="0.2">
      <c r="A6" s="209" t="s">
        <v>495</v>
      </c>
      <c r="B6" s="162"/>
      <c r="C6" s="183"/>
      <c r="D6" s="174"/>
      <c r="E6" s="200"/>
      <c r="F6" s="191"/>
    </row>
    <row r="7" spans="1:6" ht="15.75" x14ac:dyDescent="0.2">
      <c r="A7" s="210" t="s">
        <v>496</v>
      </c>
      <c r="B7" s="162">
        <v>10</v>
      </c>
      <c r="C7" s="183">
        <v>0.5</v>
      </c>
      <c r="D7" s="174"/>
      <c r="E7" s="200"/>
      <c r="F7" s="192" t="s">
        <v>53</v>
      </c>
    </row>
    <row r="8" spans="1:6" ht="15.75" x14ac:dyDescent="0.2">
      <c r="A8" s="211" t="s">
        <v>497</v>
      </c>
      <c r="B8" s="162">
        <v>4</v>
      </c>
      <c r="C8" s="183">
        <v>0.2</v>
      </c>
      <c r="D8" s="174"/>
      <c r="E8" s="200"/>
      <c r="F8" s="192" t="s">
        <v>53</v>
      </c>
    </row>
    <row r="9" spans="1:6" ht="15.75" x14ac:dyDescent="0.2">
      <c r="A9" s="211" t="s">
        <v>498</v>
      </c>
      <c r="B9" s="162">
        <v>15</v>
      </c>
      <c r="C9" s="183">
        <v>0.75</v>
      </c>
      <c r="D9" s="174"/>
      <c r="E9" s="200"/>
      <c r="F9" s="192" t="s">
        <v>53</v>
      </c>
    </row>
    <row r="10" spans="1:6" ht="15.75" x14ac:dyDescent="0.2">
      <c r="A10" s="211" t="s">
        <v>499</v>
      </c>
      <c r="B10" s="162">
        <v>30</v>
      </c>
      <c r="C10" s="183">
        <v>1.5</v>
      </c>
      <c r="D10" s="176"/>
      <c r="E10" s="201"/>
      <c r="F10" s="192" t="s">
        <v>53</v>
      </c>
    </row>
    <row r="11" spans="1:6" ht="15.75" x14ac:dyDescent="0.2">
      <c r="A11" s="211" t="s">
        <v>500</v>
      </c>
      <c r="B11" s="163">
        <v>25</v>
      </c>
      <c r="C11" s="186">
        <v>1.25</v>
      </c>
      <c r="D11" s="176"/>
      <c r="E11" s="201"/>
      <c r="F11" s="192" t="s">
        <v>53</v>
      </c>
    </row>
    <row r="12" spans="1:6" ht="15.75" x14ac:dyDescent="0.2">
      <c r="A12" s="211" t="s">
        <v>501</v>
      </c>
      <c r="B12" s="163">
        <v>50</v>
      </c>
      <c r="C12" s="186">
        <v>2.5</v>
      </c>
      <c r="D12" s="176"/>
      <c r="E12" s="201"/>
      <c r="F12" s="192" t="s">
        <v>53</v>
      </c>
    </row>
    <row r="13" spans="1:6" ht="15.75" x14ac:dyDescent="0.2">
      <c r="A13" s="209" t="s">
        <v>502</v>
      </c>
      <c r="B13" s="163"/>
      <c r="C13" s="186"/>
      <c r="D13" s="176"/>
      <c r="E13" s="201"/>
      <c r="F13" s="192"/>
    </row>
    <row r="14" spans="1:6" ht="15.75" x14ac:dyDescent="0.2">
      <c r="A14" s="211" t="s">
        <v>498</v>
      </c>
      <c r="B14" s="163">
        <v>4.25</v>
      </c>
      <c r="C14" s="186">
        <v>0.215</v>
      </c>
      <c r="D14" s="176"/>
      <c r="E14" s="201"/>
      <c r="F14" s="192" t="s">
        <v>53</v>
      </c>
    </row>
    <row r="15" spans="1:6" ht="15.75" x14ac:dyDescent="0.2">
      <c r="A15" s="211" t="s">
        <v>503</v>
      </c>
      <c r="B15" s="163">
        <v>19</v>
      </c>
      <c r="C15" s="186">
        <v>0.97499999999999998</v>
      </c>
      <c r="D15" s="176"/>
      <c r="E15" s="201"/>
      <c r="F15" s="192" t="s">
        <v>53</v>
      </c>
    </row>
    <row r="16" spans="1:6" ht="15.75" x14ac:dyDescent="0.2">
      <c r="A16" s="209" t="s">
        <v>504</v>
      </c>
      <c r="B16" s="163"/>
      <c r="C16" s="186"/>
      <c r="D16" s="176"/>
      <c r="E16" s="201"/>
      <c r="F16" s="192"/>
    </row>
    <row r="17" spans="1:6" ht="15.75" x14ac:dyDescent="0.2">
      <c r="A17" s="211" t="s">
        <v>505</v>
      </c>
      <c r="B17" s="162">
        <v>1.65</v>
      </c>
      <c r="C17" s="183">
        <v>0.115</v>
      </c>
      <c r="D17" s="174"/>
      <c r="E17" s="200"/>
      <c r="F17" s="192" t="s">
        <v>528</v>
      </c>
    </row>
    <row r="18" spans="1:6" ht="15.75" x14ac:dyDescent="0.2">
      <c r="A18" s="211" t="s">
        <v>506</v>
      </c>
      <c r="B18" s="163">
        <v>8</v>
      </c>
      <c r="C18" s="186">
        <v>0.55000000000000004</v>
      </c>
      <c r="D18" s="176"/>
      <c r="E18" s="201"/>
      <c r="F18" s="192" t="s">
        <v>528</v>
      </c>
    </row>
    <row r="19" spans="1:6" ht="15.75" x14ac:dyDescent="0.2">
      <c r="A19" s="211" t="s">
        <v>507</v>
      </c>
      <c r="B19" s="163">
        <v>30</v>
      </c>
      <c r="C19" s="186">
        <v>2.15</v>
      </c>
      <c r="D19" s="176"/>
      <c r="E19" s="201"/>
      <c r="F19" s="192" t="s">
        <v>528</v>
      </c>
    </row>
    <row r="20" spans="1:6" ht="15.75" x14ac:dyDescent="0.2">
      <c r="A20" s="211" t="s">
        <v>508</v>
      </c>
      <c r="B20" s="163">
        <v>2750</v>
      </c>
      <c r="C20" s="186">
        <v>192.5</v>
      </c>
      <c r="D20" s="176"/>
      <c r="E20" s="201"/>
      <c r="F20" s="192" t="s">
        <v>528</v>
      </c>
    </row>
    <row r="21" spans="1:6" ht="15.75" x14ac:dyDescent="0.2">
      <c r="A21" s="209" t="s">
        <v>509</v>
      </c>
      <c r="B21" s="163"/>
      <c r="C21" s="186"/>
      <c r="D21" s="176"/>
      <c r="E21" s="201"/>
      <c r="F21" s="192" t="s">
        <v>53</v>
      </c>
    </row>
    <row r="22" spans="1:6" ht="15.75" x14ac:dyDescent="0.2">
      <c r="A22" s="211" t="s">
        <v>510</v>
      </c>
      <c r="B22" s="163"/>
      <c r="C22" s="186"/>
      <c r="D22" s="176">
        <v>1.9</v>
      </c>
      <c r="E22" s="201">
        <v>1.0249999999999999</v>
      </c>
      <c r="F22" s="192" t="s">
        <v>529</v>
      </c>
    </row>
    <row r="23" spans="1:6" ht="15.75" x14ac:dyDescent="0.2">
      <c r="A23" s="211" t="s">
        <v>511</v>
      </c>
      <c r="B23" s="162"/>
      <c r="C23" s="183"/>
      <c r="D23" s="174">
        <v>2.6</v>
      </c>
      <c r="E23" s="200">
        <v>0.185</v>
      </c>
      <c r="F23" s="192" t="s">
        <v>529</v>
      </c>
    </row>
    <row r="24" spans="1:6" ht="15.75" x14ac:dyDescent="0.2">
      <c r="A24" s="209" t="s">
        <v>512</v>
      </c>
      <c r="B24" s="163"/>
      <c r="C24" s="186"/>
      <c r="D24" s="176"/>
      <c r="E24" s="201"/>
      <c r="F24" s="192"/>
    </row>
    <row r="25" spans="1:6" ht="15.75" x14ac:dyDescent="0.2">
      <c r="A25" s="211" t="s">
        <v>513</v>
      </c>
      <c r="B25" s="163"/>
      <c r="C25" s="186"/>
      <c r="D25" s="205">
        <v>0.03</v>
      </c>
      <c r="E25" s="214">
        <v>2.2499999999999998E-3</v>
      </c>
      <c r="F25" s="192" t="s">
        <v>530</v>
      </c>
    </row>
    <row r="26" spans="1:6" ht="15.75" x14ac:dyDescent="0.2">
      <c r="A26" s="211" t="s">
        <v>514</v>
      </c>
      <c r="B26" s="163"/>
      <c r="C26" s="186"/>
      <c r="D26" s="206">
        <v>7.4999999999999997E-2</v>
      </c>
      <c r="E26" s="214">
        <v>5.5500000000000002E-3</v>
      </c>
      <c r="F26" s="192" t="s">
        <v>530</v>
      </c>
    </row>
    <row r="27" spans="1:6" ht="15.75" x14ac:dyDescent="0.2">
      <c r="A27" s="209" t="s">
        <v>515</v>
      </c>
      <c r="B27" s="163"/>
      <c r="C27" s="186"/>
      <c r="D27" s="176"/>
      <c r="E27" s="201"/>
      <c r="F27" s="192"/>
    </row>
    <row r="28" spans="1:6" ht="18" x14ac:dyDescent="0.2">
      <c r="A28" s="211" t="s">
        <v>516</v>
      </c>
      <c r="B28" s="163"/>
      <c r="C28" s="186"/>
      <c r="D28" s="176">
        <v>10.5</v>
      </c>
      <c r="E28" s="201">
        <v>2.0499999999999998</v>
      </c>
      <c r="F28" s="192" t="s">
        <v>531</v>
      </c>
    </row>
    <row r="29" spans="1:6" ht="18" x14ac:dyDescent="0.2">
      <c r="A29" s="211" t="s">
        <v>517</v>
      </c>
      <c r="B29" s="163"/>
      <c r="C29" s="186"/>
      <c r="D29" s="176">
        <v>29</v>
      </c>
      <c r="E29" s="201">
        <v>5.0999999999999996</v>
      </c>
      <c r="F29" s="192" t="s">
        <v>531</v>
      </c>
    </row>
    <row r="30" spans="1:6" ht="15" x14ac:dyDescent="0.2">
      <c r="A30" s="212" t="s">
        <v>518</v>
      </c>
      <c r="B30" s="163"/>
      <c r="C30" s="186"/>
      <c r="D30" s="176"/>
      <c r="E30" s="201"/>
      <c r="F30" s="191"/>
    </row>
    <row r="31" spans="1:6" ht="15" x14ac:dyDescent="0.2">
      <c r="A31" s="211" t="s">
        <v>519</v>
      </c>
      <c r="B31" s="162"/>
      <c r="C31" s="183"/>
      <c r="D31" s="174">
        <v>55</v>
      </c>
      <c r="E31" s="200">
        <v>0.79</v>
      </c>
      <c r="F31" s="191"/>
    </row>
    <row r="32" spans="1:6" ht="18" x14ac:dyDescent="0.2">
      <c r="A32" s="213" t="s">
        <v>520</v>
      </c>
      <c r="B32" s="162"/>
      <c r="C32" s="183"/>
      <c r="D32" s="174">
        <v>65</v>
      </c>
      <c r="E32" s="200">
        <v>1.1000000000000001</v>
      </c>
      <c r="F32" s="192" t="s">
        <v>531</v>
      </c>
    </row>
    <row r="33" spans="1:6" ht="18" x14ac:dyDescent="0.2">
      <c r="A33" s="213" t="s">
        <v>521</v>
      </c>
      <c r="B33" s="163"/>
      <c r="C33" s="186"/>
      <c r="D33" s="176">
        <v>76.5</v>
      </c>
      <c r="E33" s="201">
        <v>4.05</v>
      </c>
      <c r="F33" s="192" t="s">
        <v>531</v>
      </c>
    </row>
    <row r="34" spans="1:6" ht="18" x14ac:dyDescent="0.2">
      <c r="A34" s="211" t="s">
        <v>522</v>
      </c>
      <c r="B34" s="162"/>
      <c r="C34" s="183"/>
      <c r="D34" s="174">
        <v>90</v>
      </c>
      <c r="E34" s="200">
        <v>4.8499999999999996</v>
      </c>
      <c r="F34" s="192" t="s">
        <v>531</v>
      </c>
    </row>
    <row r="35" spans="1:6" ht="15.75" x14ac:dyDescent="0.2">
      <c r="A35" s="209" t="s">
        <v>493</v>
      </c>
      <c r="B35" s="162"/>
      <c r="C35" s="183"/>
      <c r="D35" s="174"/>
      <c r="E35" s="200"/>
      <c r="F35" s="192"/>
    </row>
    <row r="36" spans="1:6" ht="15.75" x14ac:dyDescent="0.2">
      <c r="A36" s="198" t="s">
        <v>487</v>
      </c>
      <c r="B36" s="163">
        <v>54</v>
      </c>
      <c r="C36" s="186">
        <v>3.5</v>
      </c>
      <c r="D36" s="176"/>
      <c r="E36" s="201"/>
      <c r="F36" s="192" t="s">
        <v>53</v>
      </c>
    </row>
    <row r="37" spans="1:6" ht="15.75" x14ac:dyDescent="0.2">
      <c r="A37" s="198" t="s">
        <v>492</v>
      </c>
      <c r="B37" s="163">
        <v>60</v>
      </c>
      <c r="C37" s="186">
        <v>3.7</v>
      </c>
      <c r="D37" s="176"/>
      <c r="E37" s="201"/>
      <c r="F37" s="192" t="s">
        <v>53</v>
      </c>
    </row>
    <row r="38" spans="1:6" ht="15.75" x14ac:dyDescent="0.2">
      <c r="A38" s="198" t="s">
        <v>488</v>
      </c>
      <c r="B38" s="163">
        <v>27</v>
      </c>
      <c r="C38" s="186">
        <v>1.9</v>
      </c>
      <c r="D38" s="176"/>
      <c r="E38" s="201"/>
      <c r="F38" s="192" t="s">
        <v>53</v>
      </c>
    </row>
    <row r="39" spans="1:6" ht="15.75" x14ac:dyDescent="0.2">
      <c r="A39" s="198" t="s">
        <v>489</v>
      </c>
      <c r="B39" s="163">
        <v>68</v>
      </c>
      <c r="C39" s="186">
        <v>3.1</v>
      </c>
      <c r="D39" s="176"/>
      <c r="E39" s="201"/>
      <c r="F39" s="192" t="s">
        <v>53</v>
      </c>
    </row>
    <row r="40" spans="1:6" ht="15.75" x14ac:dyDescent="0.2">
      <c r="A40" s="198" t="s">
        <v>490</v>
      </c>
      <c r="B40" s="163">
        <v>35</v>
      </c>
      <c r="C40" s="186">
        <v>2.1</v>
      </c>
      <c r="D40" s="176"/>
      <c r="E40" s="201"/>
      <c r="F40" s="192" t="s">
        <v>53</v>
      </c>
    </row>
    <row r="41" spans="1:6" ht="15" x14ac:dyDescent="0.2">
      <c r="A41" s="198" t="s">
        <v>491</v>
      </c>
      <c r="B41" s="163">
        <v>46</v>
      </c>
      <c r="C41" s="186">
        <v>3.3</v>
      </c>
      <c r="D41" s="176"/>
      <c r="E41" s="201"/>
      <c r="F41" s="191"/>
    </row>
    <row r="42" spans="1:6" ht="15.75" thickBot="1" x14ac:dyDescent="0.25">
      <c r="A42" s="193"/>
      <c r="B42" s="207"/>
      <c r="C42" s="189"/>
      <c r="D42" s="179"/>
      <c r="E42" s="202"/>
      <c r="F42" s="215"/>
    </row>
    <row r="43" spans="1:6" s="274" customFormat="1" ht="15.75" x14ac:dyDescent="0.2">
      <c r="B43" s="285" t="s">
        <v>524</v>
      </c>
      <c r="C43" s="280"/>
      <c r="D43" s="285"/>
      <c r="E43" s="280"/>
    </row>
    <row r="44" spans="1:6" s="274" customFormat="1" ht="15" x14ac:dyDescent="0.2">
      <c r="B44" s="279" t="s">
        <v>80</v>
      </c>
      <c r="C44" s="245"/>
      <c r="D44" s="279"/>
      <c r="E44" s="245"/>
    </row>
    <row r="45" spans="1:6" s="274" customFormat="1" ht="15" x14ac:dyDescent="0.2">
      <c r="B45" s="278" t="s">
        <v>81</v>
      </c>
      <c r="C45" s="245"/>
      <c r="D45" s="278"/>
      <c r="E45" s="245"/>
    </row>
    <row r="46" spans="1:6" s="274" customFormat="1" x14ac:dyDescent="0.2">
      <c r="B46" s="275"/>
      <c r="C46" s="245"/>
      <c r="D46" s="275"/>
      <c r="E46" s="245"/>
    </row>
  </sheetData>
  <mergeCells count="4">
    <mergeCell ref="B4:C4"/>
    <mergeCell ref="D4:E4"/>
    <mergeCell ref="B3:E3"/>
    <mergeCell ref="F4:F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05E2A-A461-4383-841F-A45C6C7C4879}">
  <dimension ref="A1:L52"/>
  <sheetViews>
    <sheetView zoomScaleNormal="100" workbookViewId="0">
      <selection activeCell="B6" sqref="B6"/>
    </sheetView>
  </sheetViews>
  <sheetFormatPr defaultColWidth="0" defaultRowHeight="12.75" zeroHeight="1" x14ac:dyDescent="0.2"/>
  <cols>
    <col min="1" max="1" width="4.7109375" style="245" customWidth="1"/>
    <col min="2" max="2" width="30.140625" style="5" customWidth="1"/>
    <col min="3" max="3" width="20.42578125" style="7" customWidth="1"/>
    <col min="4" max="5" width="20.42578125" style="2" customWidth="1"/>
    <col min="6" max="6" width="23.5703125" style="2" customWidth="1"/>
    <col min="7" max="7" width="9.140625" style="2" customWidth="1"/>
    <col min="8" max="8" width="31.42578125" style="2" customWidth="1"/>
    <col min="9" max="9" width="19.28515625" style="2" customWidth="1"/>
    <col min="10" max="12" width="9.140625" style="245" customWidth="1"/>
    <col min="13" max="16384" width="9.140625" style="2" hidden="1"/>
  </cols>
  <sheetData>
    <row r="1" spans="2:11" s="245" customFormat="1" x14ac:dyDescent="0.2">
      <c r="C1" s="275"/>
    </row>
    <row r="2" spans="2:11" s="245" customFormat="1" ht="20.25" x14ac:dyDescent="0.2">
      <c r="B2" s="289" t="s">
        <v>82</v>
      </c>
      <c r="C2" s="289"/>
      <c r="D2" s="289"/>
      <c r="E2" s="289"/>
      <c r="F2" s="289"/>
      <c r="G2" s="289"/>
      <c r="H2" s="289"/>
      <c r="I2" s="289"/>
      <c r="J2" s="289"/>
      <c r="K2" s="289"/>
    </row>
    <row r="3" spans="2:11" s="245" customFormat="1" x14ac:dyDescent="0.2">
      <c r="C3" s="275"/>
    </row>
    <row r="4" spans="2:11" s="245" customFormat="1" ht="20.45" customHeight="1" x14ac:dyDescent="0.2">
      <c r="B4" s="290" t="s">
        <v>83</v>
      </c>
      <c r="C4" s="290"/>
      <c r="D4" s="290"/>
      <c r="E4" s="290"/>
      <c r="F4" s="290"/>
      <c r="G4" s="290"/>
      <c r="H4" s="290"/>
      <c r="I4" s="290"/>
      <c r="J4" s="290"/>
      <c r="K4" s="290"/>
    </row>
    <row r="5" spans="2:11" s="245" customFormat="1" ht="15.75" x14ac:dyDescent="0.2">
      <c r="B5" s="279"/>
      <c r="C5" s="278"/>
      <c r="D5" s="279"/>
      <c r="E5" s="280"/>
    </row>
    <row r="6" spans="2:11" ht="69" customHeight="1" x14ac:dyDescent="0.2">
      <c r="B6" s="8" t="s">
        <v>84</v>
      </c>
      <c r="C6" s="9" t="s">
        <v>85</v>
      </c>
      <c r="D6" s="216" t="s">
        <v>86</v>
      </c>
      <c r="E6" s="217" t="s">
        <v>87</v>
      </c>
      <c r="F6" s="217" t="s">
        <v>88</v>
      </c>
      <c r="G6" s="217" t="s">
        <v>89</v>
      </c>
      <c r="H6" s="217" t="s">
        <v>90</v>
      </c>
      <c r="I6" s="245"/>
    </row>
    <row r="7" spans="2:11" ht="24.6" customHeight="1" x14ac:dyDescent="0.2">
      <c r="B7" s="13" t="s">
        <v>91</v>
      </c>
      <c r="C7" s="84">
        <v>69.8</v>
      </c>
      <c r="D7" s="82">
        <v>1.38</v>
      </c>
      <c r="E7" s="10">
        <v>483</v>
      </c>
      <c r="F7" s="10" t="s">
        <v>92</v>
      </c>
      <c r="G7" s="10">
        <v>-103.8</v>
      </c>
      <c r="H7" s="10" t="s">
        <v>92</v>
      </c>
      <c r="I7" s="245"/>
    </row>
    <row r="8" spans="2:11" ht="24.6" customHeight="1" x14ac:dyDescent="0.2">
      <c r="B8" s="13" t="s">
        <v>93</v>
      </c>
      <c r="C8" s="84">
        <v>52.3</v>
      </c>
      <c r="D8" s="82">
        <v>1.56</v>
      </c>
      <c r="E8" s="14">
        <v>800</v>
      </c>
      <c r="F8" s="14">
        <v>2.1</v>
      </c>
      <c r="G8" s="14">
        <v>197</v>
      </c>
      <c r="H8" s="14">
        <v>372</v>
      </c>
      <c r="I8" s="245"/>
    </row>
    <row r="9" spans="2:11" ht="24.6" customHeight="1" x14ac:dyDescent="0.2">
      <c r="B9" s="13" t="s">
        <v>94</v>
      </c>
      <c r="C9" s="84">
        <v>69.3</v>
      </c>
      <c r="D9" s="82">
        <v>1.24</v>
      </c>
      <c r="E9" s="10">
        <v>438</v>
      </c>
      <c r="F9" s="10">
        <v>2.15</v>
      </c>
      <c r="G9" s="10">
        <v>-47.8</v>
      </c>
      <c r="H9" s="10" t="s">
        <v>92</v>
      </c>
      <c r="I9" s="245"/>
    </row>
    <row r="10" spans="2:11" ht="24.6" customHeight="1" x14ac:dyDescent="0.2">
      <c r="B10" s="13" t="s">
        <v>95</v>
      </c>
      <c r="C10" s="84">
        <v>46.8</v>
      </c>
      <c r="D10" s="82">
        <v>1.25</v>
      </c>
      <c r="E10" s="10">
        <v>522</v>
      </c>
      <c r="F10" s="10">
        <v>2.15</v>
      </c>
      <c r="G10" s="10">
        <v>56</v>
      </c>
      <c r="H10" s="10">
        <v>77</v>
      </c>
      <c r="I10" s="245"/>
    </row>
    <row r="11" spans="2:11" ht="24.6" customHeight="1" x14ac:dyDescent="0.2">
      <c r="B11" s="13" t="s">
        <v>96</v>
      </c>
      <c r="C11" s="84">
        <v>58.9</v>
      </c>
      <c r="D11" s="82">
        <v>0.90300000000000002</v>
      </c>
      <c r="E11" s="10">
        <v>361</v>
      </c>
      <c r="F11" s="10">
        <v>1.72</v>
      </c>
      <c r="G11" s="10">
        <v>110.6</v>
      </c>
      <c r="H11" s="10">
        <v>156</v>
      </c>
      <c r="I11" s="245"/>
    </row>
    <row r="12" spans="2:11" ht="24.6" customHeight="1" x14ac:dyDescent="0.2">
      <c r="B12" s="13" t="s">
        <v>97</v>
      </c>
      <c r="C12" s="84">
        <v>56.7</v>
      </c>
      <c r="D12" s="82">
        <v>0.75800000000000001</v>
      </c>
      <c r="E12" s="10">
        <v>336</v>
      </c>
      <c r="F12" s="10">
        <v>1.72</v>
      </c>
      <c r="G12" s="10">
        <v>140</v>
      </c>
      <c r="H12" s="10">
        <v>206</v>
      </c>
      <c r="I12" s="245"/>
    </row>
    <row r="13" spans="2:11" ht="24.6" customHeight="1" x14ac:dyDescent="0.2">
      <c r="B13" s="13" t="s">
        <v>98</v>
      </c>
      <c r="C13" s="84">
        <v>36.5</v>
      </c>
      <c r="D13" s="82">
        <v>0.91200000000000003</v>
      </c>
      <c r="E13" s="10">
        <v>1100</v>
      </c>
      <c r="F13" s="10">
        <v>2.5299999999999998</v>
      </c>
      <c r="G13" s="10">
        <v>64.8</v>
      </c>
      <c r="H13" s="10">
        <v>113</v>
      </c>
      <c r="I13" s="245"/>
    </row>
    <row r="14" spans="2:11" ht="24.6" customHeight="1" x14ac:dyDescent="0.2">
      <c r="B14" s="13" t="s">
        <v>99</v>
      </c>
      <c r="C14" s="84">
        <v>90.9</v>
      </c>
      <c r="D14" s="83">
        <v>4.5999999999999996</v>
      </c>
      <c r="E14" s="14">
        <v>400</v>
      </c>
      <c r="F14" s="14">
        <v>2.27</v>
      </c>
      <c r="G14" s="14">
        <v>145</v>
      </c>
      <c r="H14" s="14">
        <v>284</v>
      </c>
      <c r="I14" s="245"/>
    </row>
    <row r="15" spans="2:11" ht="24.6" customHeight="1" x14ac:dyDescent="0.2">
      <c r="B15" s="15" t="s">
        <v>100</v>
      </c>
      <c r="C15" s="85">
        <v>0.02</v>
      </c>
      <c r="D15" s="85">
        <v>1E-3</v>
      </c>
      <c r="E15" s="10">
        <v>2260</v>
      </c>
      <c r="F15" s="10">
        <v>4.18</v>
      </c>
      <c r="G15" s="10">
        <v>100</v>
      </c>
      <c r="H15" s="10">
        <v>334</v>
      </c>
      <c r="I15" s="245"/>
    </row>
    <row r="16" spans="2:11" ht="24.6" customHeight="1" x14ac:dyDescent="0.2">
      <c r="B16" s="15" t="s">
        <v>101</v>
      </c>
      <c r="C16" s="85">
        <v>47</v>
      </c>
      <c r="D16" s="85">
        <v>1.3</v>
      </c>
      <c r="E16" s="10">
        <v>839</v>
      </c>
      <c r="F16" s="10">
        <v>2.46</v>
      </c>
      <c r="G16" s="10">
        <v>78.400000000000006</v>
      </c>
      <c r="H16" s="10">
        <v>143</v>
      </c>
      <c r="I16" s="245"/>
    </row>
    <row r="17" spans="2:9" ht="24.6" customHeight="1" x14ac:dyDescent="0.2">
      <c r="B17" s="15" t="s">
        <v>102</v>
      </c>
      <c r="C17" s="86">
        <v>62</v>
      </c>
      <c r="D17" s="87">
        <v>1.9</v>
      </c>
      <c r="E17" s="10">
        <v>494</v>
      </c>
      <c r="F17" s="10">
        <v>2.19</v>
      </c>
      <c r="G17" s="10">
        <v>78.599999999999994</v>
      </c>
      <c r="H17" s="10">
        <v>128</v>
      </c>
      <c r="I17" s="245"/>
    </row>
    <row r="18" spans="2:9" s="245" customFormat="1" x14ac:dyDescent="0.2">
      <c r="B18" s="287"/>
      <c r="C18" s="291"/>
      <c r="E18" s="283"/>
    </row>
    <row r="19" spans="2:9" s="245" customFormat="1" x14ac:dyDescent="0.2">
      <c r="B19" s="287"/>
      <c r="C19" s="275"/>
      <c r="E19" s="283"/>
    </row>
    <row r="20" spans="2:9" s="245" customFormat="1" x14ac:dyDescent="0.2">
      <c r="B20" s="287"/>
      <c r="C20" s="275"/>
      <c r="E20" s="283"/>
    </row>
    <row r="21" spans="2:9" s="245" customFormat="1" x14ac:dyDescent="0.2">
      <c r="B21" s="287"/>
      <c r="C21" s="275"/>
      <c r="E21" s="283"/>
    </row>
    <row r="22" spans="2:9" s="245" customFormat="1" ht="18" x14ac:dyDescent="0.2">
      <c r="B22" s="292" t="s">
        <v>103</v>
      </c>
      <c r="C22" s="275"/>
      <c r="E22" s="283"/>
    </row>
    <row r="23" spans="2:9" s="245" customFormat="1" ht="33.75" customHeight="1" x14ac:dyDescent="0.2">
      <c r="B23" s="293" t="s">
        <v>104</v>
      </c>
      <c r="C23" s="293"/>
      <c r="D23" s="293"/>
      <c r="E23" s="293"/>
      <c r="F23" s="293"/>
      <c r="G23" s="293"/>
      <c r="H23" s="293"/>
      <c r="I23" s="293"/>
    </row>
    <row r="24" spans="2:9" s="245" customFormat="1" ht="15" x14ac:dyDescent="0.2">
      <c r="B24" s="286" t="s">
        <v>105</v>
      </c>
      <c r="C24" s="275"/>
      <c r="E24" s="283"/>
    </row>
    <row r="25" spans="2:9" s="245" customFormat="1" x14ac:dyDescent="0.2">
      <c r="C25" s="275"/>
      <c r="E25" s="283"/>
    </row>
    <row r="26" spans="2:9" ht="31.5" x14ac:dyDescent="0.2">
      <c r="B26" s="17" t="s">
        <v>106</v>
      </c>
      <c r="C26" s="18" t="s">
        <v>107</v>
      </c>
      <c r="D26" s="19" t="s">
        <v>47</v>
      </c>
      <c r="E26" s="227" t="s">
        <v>108</v>
      </c>
      <c r="F26" s="227"/>
      <c r="G26" s="227"/>
      <c r="H26" s="227"/>
      <c r="I26" s="227"/>
    </row>
    <row r="27" spans="2:9" ht="25.15" customHeight="1" x14ac:dyDescent="0.2">
      <c r="B27" s="16" t="s">
        <v>109</v>
      </c>
      <c r="C27" s="20">
        <v>0.5</v>
      </c>
      <c r="D27" s="21">
        <f>C27/20</f>
        <v>2.5000000000000001E-2</v>
      </c>
      <c r="E27" s="228" t="s">
        <v>110</v>
      </c>
      <c r="F27" s="228"/>
      <c r="G27" s="228"/>
      <c r="H27" s="228"/>
      <c r="I27" s="228"/>
    </row>
    <row r="28" spans="2:9" ht="24.6" customHeight="1" x14ac:dyDescent="0.2">
      <c r="B28" s="16" t="s">
        <v>111</v>
      </c>
      <c r="C28" s="11">
        <v>0.55000000000000004</v>
      </c>
      <c r="D28" s="12">
        <f>C28/20</f>
        <v>2.7500000000000004E-2</v>
      </c>
      <c r="E28" s="228" t="s">
        <v>112</v>
      </c>
      <c r="F28" s="228"/>
      <c r="G28" s="228"/>
      <c r="H28" s="228"/>
      <c r="I28" s="228"/>
    </row>
    <row r="29" spans="2:9" ht="24.6" customHeight="1" x14ac:dyDescent="0.2">
      <c r="B29" s="16" t="s">
        <v>113</v>
      </c>
      <c r="C29" s="11">
        <v>0.2</v>
      </c>
      <c r="D29" s="12">
        <f t="shared" ref="D29:D33" si="0">C29/20</f>
        <v>0.01</v>
      </c>
      <c r="E29" s="228" t="s">
        <v>114</v>
      </c>
      <c r="F29" s="228"/>
      <c r="G29" s="228"/>
      <c r="H29" s="228"/>
      <c r="I29" s="228"/>
    </row>
    <row r="30" spans="2:9" ht="24.6" customHeight="1" x14ac:dyDescent="0.2">
      <c r="B30" s="16" t="s">
        <v>115</v>
      </c>
      <c r="C30" s="11">
        <v>0.2</v>
      </c>
      <c r="D30" s="12">
        <f t="shared" si="0"/>
        <v>0.01</v>
      </c>
      <c r="E30" s="228" t="s">
        <v>116</v>
      </c>
      <c r="F30" s="228"/>
      <c r="G30" s="228"/>
      <c r="H30" s="228"/>
      <c r="I30" s="228"/>
    </row>
    <row r="31" spans="2:9" ht="24.6" customHeight="1" x14ac:dyDescent="0.2">
      <c r="B31" s="16" t="s">
        <v>117</v>
      </c>
      <c r="C31" s="11">
        <v>0.2</v>
      </c>
      <c r="D31" s="12">
        <f t="shared" si="0"/>
        <v>0.01</v>
      </c>
      <c r="E31" s="228" t="s">
        <v>118</v>
      </c>
      <c r="F31" s="228"/>
      <c r="G31" s="228"/>
      <c r="H31" s="228"/>
      <c r="I31" s="228"/>
    </row>
    <row r="32" spans="2:9" ht="40.15" customHeight="1" x14ac:dyDescent="0.2">
      <c r="B32" s="31" t="s">
        <v>119</v>
      </c>
      <c r="C32" s="11">
        <v>0.3</v>
      </c>
      <c r="D32" s="12">
        <f t="shared" si="0"/>
        <v>1.4999999999999999E-2</v>
      </c>
      <c r="E32" s="228" t="s">
        <v>120</v>
      </c>
      <c r="F32" s="228"/>
      <c r="G32" s="228"/>
      <c r="H32" s="228"/>
      <c r="I32" s="228"/>
    </row>
    <row r="33" spans="2:9" ht="24.6" customHeight="1" x14ac:dyDescent="0.2">
      <c r="B33" s="16" t="s">
        <v>121</v>
      </c>
      <c r="C33" s="11">
        <v>0.2</v>
      </c>
      <c r="D33" s="12">
        <f t="shared" si="0"/>
        <v>0.01</v>
      </c>
      <c r="E33" s="228" t="s">
        <v>122</v>
      </c>
      <c r="F33" s="228"/>
      <c r="G33" s="228"/>
      <c r="H33" s="228"/>
      <c r="I33" s="228"/>
    </row>
    <row r="34" spans="2:9" ht="24.6" customHeight="1" x14ac:dyDescent="0.2">
      <c r="B34" s="16" t="s">
        <v>123</v>
      </c>
      <c r="C34" s="11">
        <v>6</v>
      </c>
      <c r="D34" s="12">
        <f>C34/20</f>
        <v>0.3</v>
      </c>
      <c r="E34" s="228" t="s">
        <v>124</v>
      </c>
      <c r="F34" s="228"/>
      <c r="G34" s="228"/>
      <c r="H34" s="228"/>
      <c r="I34" s="228"/>
    </row>
    <row r="35" spans="2:9" ht="24.6" customHeight="1" x14ac:dyDescent="0.2">
      <c r="B35" s="16" t="s">
        <v>125</v>
      </c>
      <c r="C35" s="11">
        <v>3</v>
      </c>
      <c r="D35" s="12">
        <v>0.15</v>
      </c>
      <c r="E35" s="228" t="s">
        <v>126</v>
      </c>
      <c r="F35" s="228"/>
      <c r="G35" s="228"/>
      <c r="H35" s="228"/>
      <c r="I35" s="228"/>
    </row>
    <row r="36" spans="2:9" s="245" customFormat="1" x14ac:dyDescent="0.2">
      <c r="B36" s="287"/>
      <c r="C36" s="287"/>
      <c r="D36" s="287"/>
      <c r="E36" s="287"/>
    </row>
    <row r="37" spans="2:9" s="245" customFormat="1" x14ac:dyDescent="0.2">
      <c r="B37" s="287"/>
      <c r="C37" s="275"/>
      <c r="E37" s="283"/>
    </row>
    <row r="38" spans="2:9" s="245" customFormat="1" hidden="1" x14ac:dyDescent="0.2">
      <c r="B38" s="287"/>
      <c r="C38" s="275"/>
      <c r="E38" s="283"/>
    </row>
    <row r="39" spans="2:9" hidden="1" x14ac:dyDescent="0.2">
      <c r="B39" s="4"/>
      <c r="E39" s="3"/>
    </row>
    <row r="40" spans="2:9" hidden="1" x14ac:dyDescent="0.2">
      <c r="B40" s="4"/>
      <c r="E40" s="3"/>
    </row>
    <row r="41" spans="2:9" hidden="1" x14ac:dyDescent="0.2">
      <c r="B41" s="4"/>
      <c r="E41" s="3"/>
    </row>
    <row r="42" spans="2:9" hidden="1" x14ac:dyDescent="0.2">
      <c r="B42" s="4"/>
      <c r="E42" s="3"/>
    </row>
    <row r="43" spans="2:9" hidden="1" x14ac:dyDescent="0.2">
      <c r="B43" s="4"/>
      <c r="E43" s="3"/>
    </row>
    <row r="44" spans="2:9" hidden="1" x14ac:dyDescent="0.2">
      <c r="B44" s="4"/>
      <c r="E44" s="3"/>
    </row>
    <row r="45" spans="2:9" hidden="1" x14ac:dyDescent="0.2">
      <c r="B45" s="4"/>
      <c r="E45" s="3"/>
    </row>
    <row r="46" spans="2:9" hidden="1" x14ac:dyDescent="0.2">
      <c r="B46" s="4"/>
      <c r="E46" s="3"/>
    </row>
    <row r="47" spans="2:9" hidden="1" x14ac:dyDescent="0.2">
      <c r="B47" s="4"/>
      <c r="E47" s="3"/>
    </row>
    <row r="48" spans="2:9" hidden="1" x14ac:dyDescent="0.2">
      <c r="B48" s="4"/>
      <c r="E48" s="3"/>
    </row>
    <row r="49" spans="2:5" hidden="1" x14ac:dyDescent="0.2">
      <c r="B49" s="4"/>
      <c r="E49" s="3"/>
    </row>
    <row r="50" spans="2:5" hidden="1" x14ac:dyDescent="0.2">
      <c r="B50" s="4"/>
      <c r="E50" s="3"/>
    </row>
    <row r="51" spans="2:5" hidden="1" x14ac:dyDescent="0.2">
      <c r="B51" s="4"/>
    </row>
    <row r="52" spans="2:5" hidden="1" x14ac:dyDescent="0.2">
      <c r="B52" s="4"/>
    </row>
  </sheetData>
  <mergeCells count="13">
    <mergeCell ref="B2:K2"/>
    <mergeCell ref="B4:K4"/>
    <mergeCell ref="B23:I23"/>
    <mergeCell ref="E26:I26"/>
    <mergeCell ref="E27:I27"/>
    <mergeCell ref="E28:I28"/>
    <mergeCell ref="E35:I35"/>
    <mergeCell ref="E29:I29"/>
    <mergeCell ref="E30:I30"/>
    <mergeCell ref="E31:I31"/>
    <mergeCell ref="E32:I32"/>
    <mergeCell ref="E33:I33"/>
    <mergeCell ref="E34:I3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2F6D4-FD90-459F-98E0-195F0BEE2594}">
  <dimension ref="A1:M119"/>
  <sheetViews>
    <sheetView zoomScaleNormal="100" workbookViewId="0">
      <pane ySplit="4" topLeftCell="A29" activePane="bottomLeft" state="frozen"/>
      <selection pane="bottomLeft"/>
    </sheetView>
  </sheetViews>
  <sheetFormatPr defaultColWidth="0" defaultRowHeight="12.75" zeroHeight="1" x14ac:dyDescent="0.2"/>
  <cols>
    <col min="1" max="1" width="4.85546875" style="294" customWidth="1"/>
    <col min="2" max="2" width="16.140625" style="25" customWidth="1"/>
    <col min="3" max="3" width="7" style="32" customWidth="1"/>
    <col min="4" max="4" width="75.5703125" style="25" customWidth="1"/>
    <col min="5" max="5" width="8.7109375" style="25" customWidth="1"/>
    <col min="6" max="6" width="14.140625" style="25" customWidth="1"/>
    <col min="7" max="7" width="48.7109375" style="25" customWidth="1"/>
    <col min="8" max="8" width="8.7109375" style="294" customWidth="1"/>
    <col min="9" max="13" width="0" style="25" hidden="1"/>
    <col min="14" max="16384" width="8.7109375" style="25" hidden="1"/>
  </cols>
  <sheetData>
    <row r="1" spans="2:13" s="294" customFormat="1" ht="7.5" customHeight="1" x14ac:dyDescent="0.2">
      <c r="C1" s="295"/>
    </row>
    <row r="2" spans="2:13" s="294" customFormat="1" ht="15.75" x14ac:dyDescent="0.2">
      <c r="B2" s="296" t="s">
        <v>127</v>
      </c>
      <c r="C2" s="297"/>
    </row>
    <row r="3" spans="2:13" s="294" customFormat="1" ht="6" customHeight="1" thickBot="1" x14ac:dyDescent="0.25">
      <c r="C3" s="295"/>
    </row>
    <row r="4" spans="2:13" ht="90.75" customHeight="1" thickBot="1" x14ac:dyDescent="0.25">
      <c r="B4" s="230" t="s">
        <v>537</v>
      </c>
      <c r="C4" s="231"/>
      <c r="D4" s="231"/>
      <c r="E4" s="231"/>
      <c r="F4" s="231"/>
      <c r="G4" s="232"/>
      <c r="H4" s="298"/>
      <c r="I4" s="58"/>
      <c r="J4" s="58"/>
      <c r="K4" s="58"/>
      <c r="L4" s="58"/>
      <c r="M4" s="58"/>
    </row>
    <row r="5" spans="2:13" x14ac:dyDescent="0.2"/>
    <row r="6" spans="2:13" ht="25.9" customHeight="1" x14ac:dyDescent="0.2">
      <c r="B6" s="27" t="s">
        <v>128</v>
      </c>
      <c r="C6" s="41" t="s">
        <v>129</v>
      </c>
      <c r="D6" s="27" t="s">
        <v>130</v>
      </c>
      <c r="E6" s="41" t="s">
        <v>131</v>
      </c>
      <c r="F6" s="6" t="s">
        <v>132</v>
      </c>
      <c r="G6" s="30" t="s">
        <v>133</v>
      </c>
    </row>
    <row r="7" spans="2:13" ht="76.5" x14ac:dyDescent="0.2">
      <c r="B7" s="233" t="s">
        <v>134</v>
      </c>
      <c r="C7" s="42" t="s">
        <v>135</v>
      </c>
      <c r="D7" s="22" t="s">
        <v>136</v>
      </c>
      <c r="E7" s="48"/>
      <c r="F7" s="49"/>
      <c r="G7" s="33"/>
    </row>
    <row r="8" spans="2:13" x14ac:dyDescent="0.2">
      <c r="B8" s="233"/>
      <c r="C8" s="43" t="s">
        <v>137</v>
      </c>
      <c r="D8" s="39" t="s">
        <v>138</v>
      </c>
      <c r="E8" s="50"/>
      <c r="F8" s="51">
        <f>'EE CO2e solvents+processes'!C27*E7</f>
        <v>0</v>
      </c>
      <c r="G8" s="33"/>
    </row>
    <row r="9" spans="2:13" x14ac:dyDescent="0.2">
      <c r="C9" s="44"/>
      <c r="D9" s="26"/>
      <c r="E9" s="52"/>
      <c r="F9" s="52"/>
    </row>
    <row r="10" spans="2:13" ht="54.4" customHeight="1" x14ac:dyDescent="0.2">
      <c r="B10" s="229" t="s">
        <v>139</v>
      </c>
      <c r="C10" s="45" t="s">
        <v>140</v>
      </c>
      <c r="D10" s="24" t="s">
        <v>141</v>
      </c>
      <c r="E10" s="48"/>
      <c r="F10" s="53"/>
      <c r="G10" s="33"/>
    </row>
    <row r="11" spans="2:13" ht="63.75" x14ac:dyDescent="0.2">
      <c r="B11" s="229"/>
      <c r="C11" s="45" t="s">
        <v>142</v>
      </c>
      <c r="D11" s="24" t="s">
        <v>143</v>
      </c>
      <c r="E11" s="48"/>
      <c r="F11" s="53"/>
      <c r="G11" s="33"/>
    </row>
    <row r="12" spans="2:13" x14ac:dyDescent="0.2">
      <c r="B12" s="229"/>
      <c r="C12" s="46" t="s">
        <v>144</v>
      </c>
      <c r="D12" s="29" t="s">
        <v>145</v>
      </c>
      <c r="E12" s="53"/>
      <c r="F12" s="54">
        <f>E$10*E11*'EE CO2e solvents+processes'!C29*E$7</f>
        <v>0</v>
      </c>
      <c r="G12" s="33"/>
    </row>
    <row r="13" spans="2:13" ht="38.25" x14ac:dyDescent="0.2">
      <c r="B13" s="229"/>
      <c r="C13" s="45" t="s">
        <v>146</v>
      </c>
      <c r="D13" s="34" t="s">
        <v>147</v>
      </c>
      <c r="E13" s="48"/>
      <c r="F13" s="53"/>
      <c r="G13" s="33"/>
    </row>
    <row r="14" spans="2:13" x14ac:dyDescent="0.2">
      <c r="B14" s="229"/>
      <c r="C14" s="46" t="s">
        <v>148</v>
      </c>
      <c r="D14" s="29" t="s">
        <v>149</v>
      </c>
      <c r="E14" s="54"/>
      <c r="F14" s="54">
        <f>E$10*E13*'EE CO2e solvents+processes'!C28*E$7</f>
        <v>0</v>
      </c>
      <c r="G14" s="33"/>
    </row>
    <row r="15" spans="2:13" ht="31.5" customHeight="1" x14ac:dyDescent="0.2">
      <c r="B15" s="229"/>
      <c r="C15" s="45" t="s">
        <v>150</v>
      </c>
      <c r="D15" s="34" t="s">
        <v>151</v>
      </c>
      <c r="E15" s="48"/>
      <c r="F15" s="53"/>
      <c r="G15" s="33"/>
    </row>
    <row r="16" spans="2:13" x14ac:dyDescent="0.2">
      <c r="B16" s="229"/>
      <c r="C16" s="46" t="s">
        <v>152</v>
      </c>
      <c r="D16" s="29" t="s">
        <v>153</v>
      </c>
      <c r="E16" s="53"/>
      <c r="F16" s="54">
        <f>E$10*E15*'EE CO2e solvents+processes'!C30*E$7</f>
        <v>0</v>
      </c>
      <c r="G16" s="33"/>
    </row>
    <row r="17" spans="2:7" ht="30" customHeight="1" x14ac:dyDescent="0.2">
      <c r="B17" s="229"/>
      <c r="C17" s="45" t="s">
        <v>154</v>
      </c>
      <c r="D17" s="34" t="s">
        <v>155</v>
      </c>
      <c r="E17" s="48"/>
      <c r="F17" s="53"/>
      <c r="G17" s="33"/>
    </row>
    <row r="18" spans="2:7" x14ac:dyDescent="0.2">
      <c r="B18" s="229"/>
      <c r="C18" s="46" t="s">
        <v>156</v>
      </c>
      <c r="D18" s="29" t="s">
        <v>157</v>
      </c>
      <c r="E18" s="53"/>
      <c r="F18" s="54">
        <f>E$10*E17*'EE CO2e solvents+processes'!C31*E$7</f>
        <v>0</v>
      </c>
      <c r="G18" s="33"/>
    </row>
    <row r="19" spans="2:7" ht="28.5" customHeight="1" x14ac:dyDescent="0.2">
      <c r="B19" s="229"/>
      <c r="C19" s="45" t="s">
        <v>158</v>
      </c>
      <c r="D19" s="34" t="s">
        <v>159</v>
      </c>
      <c r="E19" s="48"/>
      <c r="F19" s="53"/>
      <c r="G19" s="33"/>
    </row>
    <row r="20" spans="2:7" x14ac:dyDescent="0.2">
      <c r="B20" s="229"/>
      <c r="C20" s="46" t="s">
        <v>160</v>
      </c>
      <c r="D20" s="29" t="s">
        <v>161</v>
      </c>
      <c r="E20" s="53"/>
      <c r="F20" s="54">
        <f>E$10*E19*'EE CO2e solvents+processes'!C32*E$7</f>
        <v>0</v>
      </c>
      <c r="G20" s="33"/>
    </row>
    <row r="21" spans="2:7" ht="28.5" customHeight="1" x14ac:dyDescent="0.2">
      <c r="B21" s="229"/>
      <c r="C21" s="45" t="s">
        <v>162</v>
      </c>
      <c r="D21" s="34" t="s">
        <v>163</v>
      </c>
      <c r="E21" s="48"/>
      <c r="F21" s="53"/>
      <c r="G21" s="33"/>
    </row>
    <row r="22" spans="2:7" x14ac:dyDescent="0.2">
      <c r="B22" s="229"/>
      <c r="C22" s="46" t="s">
        <v>164</v>
      </c>
      <c r="D22" s="29" t="s">
        <v>165</v>
      </c>
      <c r="E22" s="53"/>
      <c r="F22" s="54">
        <f>E$10*E21*'EE CO2e solvents+processes'!C33*E$7</f>
        <v>0</v>
      </c>
      <c r="G22" s="33"/>
    </row>
    <row r="23" spans="2:7" ht="51" x14ac:dyDescent="0.2">
      <c r="B23" s="229"/>
      <c r="C23" s="45" t="s">
        <v>166</v>
      </c>
      <c r="D23" s="22" t="s">
        <v>167</v>
      </c>
      <c r="E23" s="48"/>
      <c r="F23" s="53"/>
      <c r="G23" s="33"/>
    </row>
    <row r="24" spans="2:7" x14ac:dyDescent="0.2">
      <c r="B24" s="229"/>
      <c r="C24" s="46" t="s">
        <v>168</v>
      </c>
      <c r="D24" s="35" t="s">
        <v>169</v>
      </c>
      <c r="E24" s="53"/>
      <c r="F24" s="53">
        <f>E23</f>
        <v>0</v>
      </c>
      <c r="G24" s="33"/>
    </row>
    <row r="25" spans="2:7" x14ac:dyDescent="0.2">
      <c r="B25" s="229"/>
      <c r="C25" s="47" t="s">
        <v>170</v>
      </c>
      <c r="D25" s="37" t="s">
        <v>171</v>
      </c>
      <c r="E25" s="55"/>
      <c r="F25" s="50">
        <f>F12+F14+F16+F18+F20+F22+F24</f>
        <v>0</v>
      </c>
      <c r="G25" s="33"/>
    </row>
    <row r="26" spans="2:7" x14ac:dyDescent="0.2">
      <c r="E26" s="32"/>
      <c r="F26" s="32"/>
    </row>
    <row r="27" spans="2:7" ht="42" customHeight="1" x14ac:dyDescent="0.2">
      <c r="B27" s="234" t="s">
        <v>172</v>
      </c>
      <c r="C27" s="42" t="s">
        <v>173</v>
      </c>
      <c r="D27" s="22" t="s">
        <v>174</v>
      </c>
      <c r="E27" s="48"/>
      <c r="F27" s="53"/>
      <c r="G27" s="33"/>
    </row>
    <row r="28" spans="2:7" ht="54" customHeight="1" x14ac:dyDescent="0.2">
      <c r="B28" s="234"/>
      <c r="C28" s="42" t="s">
        <v>175</v>
      </c>
      <c r="D28" s="22" t="s">
        <v>176</v>
      </c>
      <c r="E28" s="48"/>
      <c r="F28" s="53"/>
      <c r="G28" s="23"/>
    </row>
    <row r="29" spans="2:7" ht="40.9" customHeight="1" x14ac:dyDescent="0.2">
      <c r="B29" s="234"/>
      <c r="C29" s="42" t="s">
        <v>177</v>
      </c>
      <c r="D29" s="22" t="s">
        <v>178</v>
      </c>
      <c r="E29" s="48"/>
      <c r="F29" s="53"/>
      <c r="G29" s="23"/>
    </row>
    <row r="30" spans="2:7" ht="18.399999999999999" customHeight="1" x14ac:dyDescent="0.2">
      <c r="B30" s="234"/>
      <c r="C30" s="42" t="s">
        <v>179</v>
      </c>
      <c r="D30" s="23" t="s">
        <v>180</v>
      </c>
      <c r="E30" s="48"/>
      <c r="F30" s="53"/>
      <c r="G30" s="23"/>
    </row>
    <row r="31" spans="2:7" ht="28.9" customHeight="1" x14ac:dyDescent="0.2">
      <c r="B31" s="234"/>
      <c r="C31" s="42" t="s">
        <v>181</v>
      </c>
      <c r="D31" s="22" t="s">
        <v>182</v>
      </c>
      <c r="E31" s="48"/>
      <c r="F31" s="53"/>
      <c r="G31" s="22"/>
    </row>
    <row r="32" spans="2:7" ht="30.4" customHeight="1" x14ac:dyDescent="0.2">
      <c r="B32" s="234"/>
      <c r="C32" s="42" t="s">
        <v>183</v>
      </c>
      <c r="D32" s="22" t="s">
        <v>184</v>
      </c>
      <c r="E32" s="48"/>
      <c r="F32" s="53"/>
      <c r="G32" s="33"/>
    </row>
    <row r="33" spans="2:7" x14ac:dyDescent="0.2">
      <c r="B33" s="234"/>
      <c r="C33" s="42" t="s">
        <v>185</v>
      </c>
      <c r="D33" s="29" t="s">
        <v>186</v>
      </c>
      <c r="E33" s="53"/>
      <c r="F33" s="59">
        <f>IF(E31=0,0,(E27+1)*E28*(E30-20)/E31/E32/1000)</f>
        <v>0</v>
      </c>
      <c r="G33" s="73"/>
    </row>
    <row r="34" spans="2:7" ht="41.65" customHeight="1" x14ac:dyDescent="0.2">
      <c r="B34" s="234"/>
      <c r="C34" s="42" t="s">
        <v>187</v>
      </c>
      <c r="D34" s="22" t="s">
        <v>188</v>
      </c>
      <c r="E34" s="48"/>
      <c r="F34" s="53"/>
      <c r="G34" s="33"/>
    </row>
    <row r="35" spans="2:7" x14ac:dyDescent="0.2">
      <c r="B35" s="234"/>
      <c r="C35" s="42" t="s">
        <v>189</v>
      </c>
      <c r="D35" s="29" t="s">
        <v>190</v>
      </c>
      <c r="E35" s="53"/>
      <c r="F35" s="54">
        <f>E34</f>
        <v>0</v>
      </c>
      <c r="G35" s="33"/>
    </row>
    <row r="36" spans="2:7" ht="40.5" customHeight="1" x14ac:dyDescent="0.2">
      <c r="B36" s="234"/>
      <c r="C36" s="42" t="s">
        <v>191</v>
      </c>
      <c r="D36" s="22" t="s">
        <v>192</v>
      </c>
      <c r="E36" s="48"/>
      <c r="F36" s="53"/>
      <c r="G36" s="33"/>
    </row>
    <row r="37" spans="2:7" ht="40.5" customHeight="1" x14ac:dyDescent="0.2">
      <c r="B37" s="234"/>
      <c r="C37" s="42" t="s">
        <v>193</v>
      </c>
      <c r="D37" s="22" t="s">
        <v>194</v>
      </c>
      <c r="E37" s="48"/>
      <c r="F37" s="53"/>
      <c r="G37" s="33"/>
    </row>
    <row r="38" spans="2:7" ht="28.9" customHeight="1" x14ac:dyDescent="0.2">
      <c r="B38" s="234"/>
      <c r="C38" s="42" t="s">
        <v>195</v>
      </c>
      <c r="D38" s="22" t="s">
        <v>196</v>
      </c>
      <c r="E38" s="48"/>
      <c r="F38" s="53"/>
      <c r="G38" s="33"/>
    </row>
    <row r="39" spans="2:7" ht="28.9" customHeight="1" x14ac:dyDescent="0.2">
      <c r="B39" s="234"/>
      <c r="C39" s="42" t="s">
        <v>197</v>
      </c>
      <c r="D39" s="22" t="s">
        <v>198</v>
      </c>
      <c r="E39" s="48"/>
      <c r="F39" s="53"/>
      <c r="G39" s="33"/>
    </row>
    <row r="40" spans="2:7" x14ac:dyDescent="0.2">
      <c r="B40" s="234"/>
      <c r="C40" s="42" t="s">
        <v>199</v>
      </c>
      <c r="D40" s="35" t="s">
        <v>200</v>
      </c>
      <c r="E40" s="54">
        <f>MIN(E38,E39)</f>
        <v>0</v>
      </c>
      <c r="F40" s="53"/>
      <c r="G40" s="33"/>
    </row>
    <row r="41" spans="2:7" x14ac:dyDescent="0.2">
      <c r="B41" s="234"/>
      <c r="C41" s="42" t="s">
        <v>201</v>
      </c>
      <c r="D41" s="35" t="s">
        <v>202</v>
      </c>
      <c r="E41" s="53"/>
      <c r="F41" s="59" t="e">
        <f>(E36+E27)*E28*(E40-20)/E31/E32/1000</f>
        <v>#DIV/0!</v>
      </c>
      <c r="G41" s="33"/>
    </row>
    <row r="42" spans="2:7" x14ac:dyDescent="0.2">
      <c r="B42" s="234"/>
      <c r="C42" s="42" t="s">
        <v>203</v>
      </c>
      <c r="D42" s="29" t="s">
        <v>204</v>
      </c>
      <c r="E42" s="53"/>
      <c r="F42" s="72" t="e">
        <f>IF(E38&lt;E39,1,0)*E27*E29/E31/E32/1000</f>
        <v>#DIV/0!</v>
      </c>
      <c r="G42" s="33"/>
    </row>
    <row r="43" spans="2:7" x14ac:dyDescent="0.2">
      <c r="B43" s="234"/>
      <c r="C43" s="42" t="s">
        <v>205</v>
      </c>
      <c r="D43" s="29" t="s">
        <v>206</v>
      </c>
      <c r="E43" s="53"/>
      <c r="F43" s="72" t="e">
        <f>IF(E38&gt;E39,1,0)*E36*E37/E31/E32/1000</f>
        <v>#DIV/0!</v>
      </c>
      <c r="G43" s="73"/>
    </row>
    <row r="44" spans="2:7" ht="38.25" x14ac:dyDescent="0.2">
      <c r="B44" s="234"/>
      <c r="C44" s="42" t="s">
        <v>207</v>
      </c>
      <c r="D44" s="35" t="s">
        <v>208</v>
      </c>
      <c r="E44" s="53"/>
      <c r="F44" s="60" t="e">
        <f>(2*E28*(E38-20)+E29)/E31/1000</f>
        <v>#DIV/0!</v>
      </c>
      <c r="G44" s="73"/>
    </row>
    <row r="45" spans="2:7" ht="28.5" customHeight="1" x14ac:dyDescent="0.2">
      <c r="B45" s="234"/>
      <c r="C45" s="42" t="s">
        <v>209</v>
      </c>
      <c r="D45" s="34" t="s">
        <v>210</v>
      </c>
      <c r="E45" s="48"/>
      <c r="F45" s="60"/>
      <c r="G45" s="73"/>
    </row>
    <row r="46" spans="2:7" ht="28.5" customHeight="1" x14ac:dyDescent="0.2">
      <c r="B46" s="234"/>
      <c r="C46" s="42" t="s">
        <v>211</v>
      </c>
      <c r="D46" s="34" t="s">
        <v>212</v>
      </c>
      <c r="E46" s="48"/>
      <c r="F46" s="60"/>
      <c r="G46" s="73"/>
    </row>
    <row r="47" spans="2:7" x14ac:dyDescent="0.2">
      <c r="B47" s="234"/>
      <c r="C47" s="42" t="s">
        <v>213</v>
      </c>
      <c r="D47" s="35" t="s">
        <v>214</v>
      </c>
      <c r="E47" s="77"/>
      <c r="F47" s="60">
        <f>E27*E45+E36*E46</f>
        <v>0</v>
      </c>
      <c r="G47" s="73"/>
    </row>
    <row r="48" spans="2:7" ht="28.5" customHeight="1" x14ac:dyDescent="0.2">
      <c r="B48" s="234"/>
      <c r="C48" s="42" t="s">
        <v>215</v>
      </c>
      <c r="D48" s="22" t="s">
        <v>216</v>
      </c>
      <c r="E48" s="61"/>
      <c r="F48" s="53"/>
      <c r="G48" s="33"/>
    </row>
    <row r="49" spans="2:7" ht="28.5" customHeight="1" x14ac:dyDescent="0.2">
      <c r="B49" s="234"/>
      <c r="C49" s="42" t="s">
        <v>217</v>
      </c>
      <c r="D49" s="22" t="s">
        <v>218</v>
      </c>
      <c r="E49" s="48"/>
      <c r="F49" s="53"/>
      <c r="G49" s="33"/>
    </row>
    <row r="50" spans="2:7" ht="28.5" customHeight="1" x14ac:dyDescent="0.2">
      <c r="B50" s="234"/>
      <c r="C50" s="42" t="s">
        <v>219</v>
      </c>
      <c r="D50" s="22" t="s">
        <v>220</v>
      </c>
      <c r="E50" s="48"/>
      <c r="F50" s="53"/>
      <c r="G50" s="33"/>
    </row>
    <row r="51" spans="2:7" x14ac:dyDescent="0.2">
      <c r="B51" s="234"/>
      <c r="C51" s="42" t="s">
        <v>221</v>
      </c>
      <c r="D51" s="35" t="s">
        <v>222</v>
      </c>
      <c r="E51" s="53"/>
      <c r="F51" s="54" t="e">
        <f>E27*E48*(E49+E50)/E31</f>
        <v>#DIV/0!</v>
      </c>
      <c r="G51" s="33"/>
    </row>
    <row r="52" spans="2:7" ht="25.5" x14ac:dyDescent="0.2">
      <c r="B52" s="234"/>
      <c r="C52" s="42" t="s">
        <v>223</v>
      </c>
      <c r="D52" s="22" t="s">
        <v>224</v>
      </c>
      <c r="E52" s="61"/>
      <c r="F52" s="53"/>
      <c r="G52" s="33"/>
    </row>
    <row r="53" spans="2:7" ht="25.5" x14ac:dyDescent="0.2">
      <c r="B53" s="234"/>
      <c r="C53" s="42" t="s">
        <v>225</v>
      </c>
      <c r="D53" s="22" t="s">
        <v>226</v>
      </c>
      <c r="E53" s="48"/>
      <c r="F53" s="53"/>
      <c r="G53" s="33"/>
    </row>
    <row r="54" spans="2:7" ht="25.5" x14ac:dyDescent="0.2">
      <c r="B54" s="234"/>
      <c r="C54" s="42" t="s">
        <v>227</v>
      </c>
      <c r="D54" s="22" t="s">
        <v>228</v>
      </c>
      <c r="E54" s="48"/>
      <c r="F54" s="53"/>
      <c r="G54" s="33"/>
    </row>
    <row r="55" spans="2:7" x14ac:dyDescent="0.2">
      <c r="B55" s="234"/>
      <c r="C55" s="42" t="s">
        <v>229</v>
      </c>
      <c r="D55" s="35" t="s">
        <v>222</v>
      </c>
      <c r="E55" s="53"/>
      <c r="F55" s="54" t="e">
        <f>E36*E52*(E53+E54)/E31</f>
        <v>#DIV/0!</v>
      </c>
      <c r="G55" s="33"/>
    </row>
    <row r="56" spans="2:7" ht="25.5" x14ac:dyDescent="0.2">
      <c r="B56" s="234"/>
      <c r="C56" s="42" t="s">
        <v>230</v>
      </c>
      <c r="D56" s="22" t="s">
        <v>231</v>
      </c>
      <c r="E56" s="48"/>
      <c r="F56" s="53"/>
      <c r="G56" s="24"/>
    </row>
    <row r="57" spans="2:7" x14ac:dyDescent="0.2">
      <c r="B57" s="234"/>
      <c r="C57" s="42" t="s">
        <v>232</v>
      </c>
      <c r="D57" s="35" t="s">
        <v>233</v>
      </c>
      <c r="E57" s="53"/>
      <c r="F57" s="54">
        <f>E56</f>
        <v>0</v>
      </c>
      <c r="G57" s="33"/>
    </row>
    <row r="58" spans="2:7" x14ac:dyDescent="0.2">
      <c r="B58" s="234"/>
      <c r="C58" s="43" t="s">
        <v>234</v>
      </c>
      <c r="D58" s="37" t="s">
        <v>235</v>
      </c>
      <c r="E58" s="55"/>
      <c r="F58" s="56">
        <f>IF(E32=0,0,F33+F35+F41+F42+F43+F44+F51+F57)</f>
        <v>0</v>
      </c>
      <c r="G58" s="33"/>
    </row>
    <row r="59" spans="2:7" x14ac:dyDescent="0.2">
      <c r="D59" s="36"/>
      <c r="E59" s="57"/>
      <c r="F59" s="57"/>
    </row>
    <row r="60" spans="2:7" ht="18.399999999999999" customHeight="1" x14ac:dyDescent="0.2">
      <c r="B60" s="229" t="s">
        <v>236</v>
      </c>
      <c r="C60" s="45" t="s">
        <v>237</v>
      </c>
      <c r="D60" s="23" t="s">
        <v>238</v>
      </c>
      <c r="E60" s="48"/>
      <c r="F60" s="49"/>
      <c r="G60" s="33"/>
    </row>
    <row r="61" spans="2:7" ht="25.5" x14ac:dyDescent="0.2">
      <c r="B61" s="229"/>
      <c r="C61" s="45" t="s">
        <v>239</v>
      </c>
      <c r="D61" s="22" t="s">
        <v>240</v>
      </c>
      <c r="E61" s="48"/>
      <c r="F61" s="49"/>
      <c r="G61" s="33"/>
    </row>
    <row r="62" spans="2:7" ht="45" customHeight="1" x14ac:dyDescent="0.2">
      <c r="B62" s="229"/>
      <c r="C62" s="45" t="s">
        <v>241</v>
      </c>
      <c r="D62" s="22" t="s">
        <v>242</v>
      </c>
      <c r="E62" s="48"/>
      <c r="F62" s="49"/>
      <c r="G62" s="33"/>
    </row>
    <row r="63" spans="2:7" ht="45" customHeight="1" x14ac:dyDescent="0.2">
      <c r="B63" s="229"/>
      <c r="C63" s="45" t="s">
        <v>243</v>
      </c>
      <c r="D63" s="22" t="s">
        <v>244</v>
      </c>
      <c r="E63" s="48"/>
      <c r="F63" s="49"/>
      <c r="G63" s="33"/>
    </row>
    <row r="64" spans="2:7" ht="54" customHeight="1" x14ac:dyDescent="0.2">
      <c r="B64" s="229"/>
      <c r="C64" s="45" t="s">
        <v>245</v>
      </c>
      <c r="D64" s="22" t="s">
        <v>246</v>
      </c>
      <c r="E64" s="48"/>
      <c r="F64" s="49"/>
      <c r="G64" s="33"/>
    </row>
    <row r="65" spans="1:8" s="79" customFormat="1" ht="40.9" customHeight="1" x14ac:dyDescent="0.2">
      <c r="A65" s="294"/>
      <c r="B65" s="229"/>
      <c r="C65" s="76" t="s">
        <v>247</v>
      </c>
      <c r="D65" s="24" t="s">
        <v>248</v>
      </c>
      <c r="E65" s="48"/>
      <c r="F65" s="78"/>
      <c r="G65" s="73"/>
      <c r="H65" s="294"/>
    </row>
    <row r="66" spans="1:8" s="79" customFormat="1" ht="40.9" customHeight="1" x14ac:dyDescent="0.2">
      <c r="A66" s="294"/>
      <c r="B66" s="229"/>
      <c r="C66" s="76" t="s">
        <v>249</v>
      </c>
      <c r="D66" s="24" t="s">
        <v>250</v>
      </c>
      <c r="E66" s="48"/>
      <c r="F66" s="78"/>
      <c r="G66" s="73"/>
      <c r="H66" s="294"/>
    </row>
    <row r="67" spans="1:8" ht="31.15" customHeight="1" x14ac:dyDescent="0.2">
      <c r="B67" s="229"/>
      <c r="C67" s="76" t="s">
        <v>251</v>
      </c>
      <c r="D67" s="22" t="s">
        <v>252</v>
      </c>
      <c r="E67" s="48"/>
      <c r="F67" s="49"/>
      <c r="G67" s="33"/>
    </row>
    <row r="68" spans="1:8" ht="43.15" customHeight="1" x14ac:dyDescent="0.2">
      <c r="B68" s="229"/>
      <c r="C68" s="76" t="s">
        <v>253</v>
      </c>
      <c r="D68" s="22" t="s">
        <v>254</v>
      </c>
      <c r="E68" s="48"/>
      <c r="F68" s="49"/>
      <c r="G68" s="33"/>
    </row>
    <row r="69" spans="1:8" ht="54.4" customHeight="1" x14ac:dyDescent="0.2">
      <c r="B69" s="229"/>
      <c r="C69" s="76" t="s">
        <v>255</v>
      </c>
      <c r="D69" s="22" t="s">
        <v>256</v>
      </c>
      <c r="E69" s="48"/>
      <c r="F69" s="49"/>
      <c r="G69" s="33"/>
    </row>
    <row r="70" spans="1:8" x14ac:dyDescent="0.2">
      <c r="B70" s="229"/>
      <c r="C70" s="80" t="s">
        <v>257</v>
      </c>
      <c r="D70" s="39" t="s">
        <v>258</v>
      </c>
      <c r="E70" s="50"/>
      <c r="F70" s="51">
        <f>E60*SUM(E60:E69)</f>
        <v>0</v>
      </c>
      <c r="G70" s="33"/>
    </row>
    <row r="71" spans="1:8" x14ac:dyDescent="0.2">
      <c r="E71" s="32"/>
      <c r="F71" s="32"/>
      <c r="G71" s="33"/>
    </row>
    <row r="72" spans="1:8" ht="16.5" customHeight="1" x14ac:dyDescent="0.2">
      <c r="B72" s="229" t="s">
        <v>259</v>
      </c>
      <c r="C72" s="45" t="s">
        <v>260</v>
      </c>
      <c r="D72" s="22" t="s">
        <v>261</v>
      </c>
      <c r="E72" s="48"/>
      <c r="F72" s="49"/>
      <c r="G72" s="33"/>
    </row>
    <row r="73" spans="1:8" ht="30" customHeight="1" x14ac:dyDescent="0.2">
      <c r="B73" s="229"/>
      <c r="C73" s="45" t="s">
        <v>262</v>
      </c>
      <c r="D73" s="22" t="s">
        <v>263</v>
      </c>
      <c r="E73" s="48"/>
      <c r="F73" s="74"/>
      <c r="G73" s="33"/>
    </row>
    <row r="74" spans="1:8" ht="18" customHeight="1" x14ac:dyDescent="0.2">
      <c r="B74" s="229"/>
      <c r="C74" s="45" t="s">
        <v>264</v>
      </c>
      <c r="D74" s="23" t="s">
        <v>265</v>
      </c>
      <c r="E74" s="48"/>
      <c r="F74" s="74"/>
      <c r="G74" s="33"/>
    </row>
    <row r="75" spans="1:8" x14ac:dyDescent="0.2">
      <c r="B75" s="229"/>
      <c r="C75" s="45" t="s">
        <v>266</v>
      </c>
      <c r="D75" s="29" t="s">
        <v>267</v>
      </c>
      <c r="E75" s="53"/>
      <c r="F75" s="74">
        <f>E72*(E74-20)*2*E73/1000</f>
        <v>0</v>
      </c>
      <c r="G75" s="33"/>
    </row>
    <row r="76" spans="1:8" ht="28.15" customHeight="1" x14ac:dyDescent="0.2">
      <c r="B76" s="229"/>
      <c r="C76" s="42" t="s">
        <v>268</v>
      </c>
      <c r="D76" s="22" t="s">
        <v>269</v>
      </c>
      <c r="E76" s="48"/>
      <c r="F76" s="74"/>
      <c r="G76" s="33"/>
    </row>
    <row r="77" spans="1:8" ht="28.15" customHeight="1" x14ac:dyDescent="0.2">
      <c r="B77" s="229"/>
      <c r="C77" s="42" t="s">
        <v>270</v>
      </c>
      <c r="D77" s="22" t="s">
        <v>271</v>
      </c>
      <c r="E77" s="48"/>
      <c r="F77" s="74"/>
      <c r="G77" s="33"/>
    </row>
    <row r="78" spans="1:8" x14ac:dyDescent="0.2">
      <c r="B78" s="229"/>
      <c r="C78" s="42" t="s">
        <v>272</v>
      </c>
      <c r="D78" s="35" t="s">
        <v>273</v>
      </c>
      <c r="E78" s="53"/>
      <c r="F78" s="74">
        <f>E76*E77</f>
        <v>0</v>
      </c>
      <c r="G78" s="33"/>
    </row>
    <row r="79" spans="1:8" x14ac:dyDescent="0.2">
      <c r="B79" s="229"/>
      <c r="C79" s="42" t="s">
        <v>274</v>
      </c>
      <c r="D79" s="35" t="s">
        <v>275</v>
      </c>
      <c r="E79" s="53"/>
      <c r="F79" s="74">
        <f>F75-F78</f>
        <v>0</v>
      </c>
      <c r="G79" s="33"/>
    </row>
    <row r="80" spans="1:8" ht="43.5" customHeight="1" x14ac:dyDescent="0.2">
      <c r="B80" s="229"/>
      <c r="C80" s="45" t="s">
        <v>276</v>
      </c>
      <c r="D80" s="34" t="s">
        <v>277</v>
      </c>
      <c r="E80" s="48"/>
      <c r="F80" s="74"/>
      <c r="G80" s="33"/>
    </row>
    <row r="81" spans="2:7" ht="28.5" customHeight="1" x14ac:dyDescent="0.2">
      <c r="B81" s="229"/>
      <c r="C81" s="45" t="s">
        <v>278</v>
      </c>
      <c r="D81" s="34" t="s">
        <v>279</v>
      </c>
      <c r="E81" s="48"/>
      <c r="F81" s="74"/>
      <c r="G81" s="33"/>
    </row>
    <row r="82" spans="2:7" ht="28.5" customHeight="1" x14ac:dyDescent="0.2">
      <c r="B82" s="229"/>
      <c r="C82" s="45" t="s">
        <v>280</v>
      </c>
      <c r="D82" s="22" t="s">
        <v>281</v>
      </c>
      <c r="E82" s="48"/>
      <c r="F82" s="74"/>
      <c r="G82" s="33"/>
    </row>
    <row r="83" spans="2:7" x14ac:dyDescent="0.2">
      <c r="B83" s="229"/>
      <c r="C83" s="43" t="s">
        <v>282</v>
      </c>
      <c r="D83" s="39" t="s">
        <v>283</v>
      </c>
      <c r="E83" s="53"/>
      <c r="F83" s="51">
        <f>E72*(F79+E80+E81+E82)</f>
        <v>0</v>
      </c>
      <c r="G83" s="33"/>
    </row>
    <row r="84" spans="2:7" x14ac:dyDescent="0.2">
      <c r="E84" s="32"/>
      <c r="F84" s="32"/>
      <c r="G84" s="33"/>
    </row>
    <row r="85" spans="2:7" ht="15.4" customHeight="1" x14ac:dyDescent="0.2">
      <c r="B85" s="229" t="s">
        <v>284</v>
      </c>
      <c r="C85" s="45" t="s">
        <v>285</v>
      </c>
      <c r="D85" s="23" t="s">
        <v>286</v>
      </c>
      <c r="E85" s="48"/>
      <c r="F85" s="53"/>
      <c r="G85" s="33"/>
    </row>
    <row r="86" spans="2:7" ht="28.9" customHeight="1" x14ac:dyDescent="0.2">
      <c r="B86" s="229"/>
      <c r="C86" s="45" t="s">
        <v>287</v>
      </c>
      <c r="D86" s="22" t="s">
        <v>288</v>
      </c>
      <c r="E86" s="48"/>
      <c r="F86" s="49"/>
      <c r="G86" s="33"/>
    </row>
    <row r="87" spans="2:7" ht="15.4" customHeight="1" x14ac:dyDescent="0.2">
      <c r="B87" s="229"/>
      <c r="C87" s="45" t="s">
        <v>289</v>
      </c>
      <c r="D87" s="23" t="s">
        <v>290</v>
      </c>
      <c r="E87" s="48"/>
      <c r="F87" s="49"/>
      <c r="G87" s="33"/>
    </row>
    <row r="88" spans="2:7" x14ac:dyDescent="0.2">
      <c r="B88" s="229"/>
      <c r="C88" s="45" t="s">
        <v>291</v>
      </c>
      <c r="D88" s="29" t="s">
        <v>267</v>
      </c>
      <c r="E88" s="68"/>
      <c r="F88" s="49">
        <f>E85*(E87-20)*2/1000</f>
        <v>0</v>
      </c>
      <c r="G88" s="33"/>
    </row>
    <row r="89" spans="2:7" ht="28.15" customHeight="1" x14ac:dyDescent="0.2">
      <c r="B89" s="229"/>
      <c r="C89" s="45" t="s">
        <v>292</v>
      </c>
      <c r="D89" s="22" t="s">
        <v>293</v>
      </c>
      <c r="E89" s="48"/>
      <c r="F89" s="74"/>
      <c r="G89" s="33"/>
    </row>
    <row r="90" spans="2:7" ht="28.15" customHeight="1" x14ac:dyDescent="0.2">
      <c r="B90" s="229"/>
      <c r="C90" s="45" t="s">
        <v>294</v>
      </c>
      <c r="D90" s="22" t="s">
        <v>295</v>
      </c>
      <c r="E90" s="48"/>
      <c r="F90" s="74"/>
      <c r="G90" s="33"/>
    </row>
    <row r="91" spans="2:7" ht="25.5" x14ac:dyDescent="0.2">
      <c r="B91" s="229"/>
      <c r="C91" s="45" t="s">
        <v>296</v>
      </c>
      <c r="D91" s="35" t="s">
        <v>297</v>
      </c>
      <c r="E91" s="53"/>
      <c r="F91" s="74">
        <f>E89*E90</f>
        <v>0</v>
      </c>
      <c r="G91" s="33"/>
    </row>
    <row r="92" spans="2:7" x14ac:dyDescent="0.2">
      <c r="B92" s="229"/>
      <c r="C92" s="45" t="s">
        <v>298</v>
      </c>
      <c r="D92" s="35" t="s">
        <v>299</v>
      </c>
      <c r="E92" s="53"/>
      <c r="F92" s="74">
        <f>F88-F91</f>
        <v>0</v>
      </c>
      <c r="G92" s="33"/>
    </row>
    <row r="93" spans="2:7" ht="28.15" customHeight="1" x14ac:dyDescent="0.2">
      <c r="B93" s="229"/>
      <c r="C93" s="45" t="s">
        <v>300</v>
      </c>
      <c r="D93" s="34" t="s">
        <v>301</v>
      </c>
      <c r="E93" s="69"/>
      <c r="F93" s="49"/>
      <c r="G93" s="33"/>
    </row>
    <row r="94" spans="2:7" ht="28.15" customHeight="1" x14ac:dyDescent="0.2">
      <c r="B94" s="229"/>
      <c r="C94" s="45" t="s">
        <v>302</v>
      </c>
      <c r="D94" s="22" t="s">
        <v>303</v>
      </c>
      <c r="E94" s="48"/>
      <c r="F94" s="49"/>
      <c r="G94" s="33"/>
    </row>
    <row r="95" spans="2:7" x14ac:dyDescent="0.2">
      <c r="B95" s="229"/>
      <c r="C95" s="47" t="s">
        <v>304</v>
      </c>
      <c r="D95" s="39" t="s">
        <v>305</v>
      </c>
      <c r="E95" s="53"/>
      <c r="F95" s="51">
        <f>E85*(F92+E93+E94)</f>
        <v>0</v>
      </c>
      <c r="G95" s="33"/>
    </row>
    <row r="96" spans="2:7" x14ac:dyDescent="0.2">
      <c r="E96" s="32"/>
      <c r="F96" s="32"/>
    </row>
    <row r="97" spans="2:7" ht="38.25" x14ac:dyDescent="0.2">
      <c r="B97" s="62" t="s">
        <v>306</v>
      </c>
      <c r="C97" s="43" t="s">
        <v>307</v>
      </c>
      <c r="D97" s="37" t="s">
        <v>308</v>
      </c>
      <c r="E97" s="70"/>
      <c r="F97" s="50">
        <f>E97</f>
        <v>0</v>
      </c>
      <c r="G97" s="33"/>
    </row>
    <row r="98" spans="2:7" x14ac:dyDescent="0.2">
      <c r="E98" s="32"/>
      <c r="F98" s="32"/>
    </row>
    <row r="99" spans="2:7" x14ac:dyDescent="0.2">
      <c r="B99" s="229" t="s">
        <v>309</v>
      </c>
      <c r="C99" s="46" t="s">
        <v>310</v>
      </c>
      <c r="D99" s="29" t="s">
        <v>311</v>
      </c>
      <c r="E99" s="29"/>
      <c r="F99" s="54">
        <f>2*'EE CO2e solvents+processes'!C29</f>
        <v>0.4</v>
      </c>
      <c r="G99" s="33"/>
    </row>
    <row r="100" spans="2:7" x14ac:dyDescent="0.2">
      <c r="B100" s="229"/>
      <c r="C100" s="45" t="s">
        <v>312</v>
      </c>
      <c r="D100" s="23" t="s">
        <v>313</v>
      </c>
      <c r="E100" s="53"/>
      <c r="F100" s="54"/>
      <c r="G100" s="33"/>
    </row>
    <row r="101" spans="2:7" x14ac:dyDescent="0.2">
      <c r="B101" s="229"/>
      <c r="C101" s="46" t="s">
        <v>314</v>
      </c>
      <c r="D101" s="29" t="s">
        <v>315</v>
      </c>
      <c r="E101" s="53"/>
      <c r="F101" s="54">
        <f>'EE CO2e solvents+processes'!C34</f>
        <v>6</v>
      </c>
      <c r="G101" s="33"/>
    </row>
    <row r="102" spans="2:7" ht="28.5" customHeight="1" x14ac:dyDescent="0.2">
      <c r="B102" s="229"/>
      <c r="C102" s="45" t="s">
        <v>316</v>
      </c>
      <c r="D102" s="34" t="s">
        <v>317</v>
      </c>
      <c r="E102" s="48"/>
      <c r="F102" s="53"/>
      <c r="G102" s="33"/>
    </row>
    <row r="103" spans="2:7" x14ac:dyDescent="0.2">
      <c r="B103" s="229"/>
      <c r="C103" s="46" t="s">
        <v>318</v>
      </c>
      <c r="D103" s="29" t="s">
        <v>319</v>
      </c>
      <c r="E103" s="54"/>
      <c r="F103" s="54">
        <f>E102*'EE CO2e solvents+processes'!C35</f>
        <v>0</v>
      </c>
      <c r="G103" s="33"/>
    </row>
    <row r="104" spans="2:7" ht="40.9" customHeight="1" x14ac:dyDescent="0.2">
      <c r="B104" s="229"/>
      <c r="C104" s="45" t="s">
        <v>320</v>
      </c>
      <c r="D104" s="34" t="s">
        <v>321</v>
      </c>
      <c r="E104" s="28"/>
      <c r="F104" s="33"/>
      <c r="G104" s="33"/>
    </row>
    <row r="105" spans="2:7" x14ac:dyDescent="0.2">
      <c r="B105" s="229"/>
      <c r="C105" s="46" t="s">
        <v>322</v>
      </c>
      <c r="D105" s="29" t="s">
        <v>323</v>
      </c>
      <c r="E105" s="33"/>
      <c r="F105" s="53">
        <f>E104</f>
        <v>0</v>
      </c>
      <c r="G105" s="33"/>
    </row>
    <row r="106" spans="2:7" x14ac:dyDescent="0.2">
      <c r="B106" s="229"/>
      <c r="C106" s="47" t="s">
        <v>324</v>
      </c>
      <c r="D106" s="39" t="s">
        <v>325</v>
      </c>
      <c r="E106" s="38"/>
      <c r="F106" s="55">
        <f>F99+F101+F103+F105</f>
        <v>6.4</v>
      </c>
      <c r="G106" s="33"/>
    </row>
    <row r="107" spans="2:7" x14ac:dyDescent="0.2"/>
    <row r="108" spans="2:7" ht="13.9" customHeight="1" x14ac:dyDescent="0.2">
      <c r="B108" s="229" t="s">
        <v>326</v>
      </c>
      <c r="C108" s="42" t="s">
        <v>327</v>
      </c>
      <c r="D108" s="63" t="s">
        <v>328</v>
      </c>
      <c r="E108" s="63"/>
      <c r="F108" s="88">
        <f>F8</f>
        <v>0</v>
      </c>
      <c r="G108" s="33"/>
    </row>
    <row r="109" spans="2:7" ht="13.9" customHeight="1" x14ac:dyDescent="0.2">
      <c r="B109" s="229"/>
      <c r="C109" s="42" t="s">
        <v>329</v>
      </c>
      <c r="D109" s="64" t="s">
        <v>330</v>
      </c>
      <c r="E109" s="63"/>
      <c r="F109" s="88">
        <f>F25</f>
        <v>0</v>
      </c>
      <c r="G109" s="33"/>
    </row>
    <row r="110" spans="2:7" ht="13.9" customHeight="1" x14ac:dyDescent="0.2">
      <c r="B110" s="229"/>
      <c r="C110" s="42" t="s">
        <v>331</v>
      </c>
      <c r="D110" s="64" t="s">
        <v>332</v>
      </c>
      <c r="E110" s="63"/>
      <c r="F110" s="65">
        <f>F58</f>
        <v>0</v>
      </c>
      <c r="G110" s="33"/>
    </row>
    <row r="111" spans="2:7" ht="13.9" customHeight="1" x14ac:dyDescent="0.2">
      <c r="B111" s="229"/>
      <c r="C111" s="42" t="s">
        <v>333</v>
      </c>
      <c r="D111" s="63" t="s">
        <v>334</v>
      </c>
      <c r="E111" s="63"/>
      <c r="F111" s="88">
        <f>F70</f>
        <v>0</v>
      </c>
      <c r="G111" s="33"/>
    </row>
    <row r="112" spans="2:7" ht="13.9" customHeight="1" x14ac:dyDescent="0.2">
      <c r="B112" s="229"/>
      <c r="C112" s="42" t="s">
        <v>335</v>
      </c>
      <c r="D112" s="63" t="s">
        <v>336</v>
      </c>
      <c r="E112" s="63"/>
      <c r="F112" s="88">
        <f>F83</f>
        <v>0</v>
      </c>
      <c r="G112" s="33"/>
    </row>
    <row r="113" spans="2:7" ht="13.9" customHeight="1" x14ac:dyDescent="0.2">
      <c r="B113" s="229"/>
      <c r="C113" s="42" t="s">
        <v>337</v>
      </c>
      <c r="D113" s="63" t="s">
        <v>338</v>
      </c>
      <c r="E113" s="63"/>
      <c r="F113" s="88">
        <f>F95</f>
        <v>0</v>
      </c>
      <c r="G113" s="33"/>
    </row>
    <row r="114" spans="2:7" ht="25.5" x14ac:dyDescent="0.2">
      <c r="B114" s="229"/>
      <c r="C114" s="42" t="s">
        <v>339</v>
      </c>
      <c r="D114" s="64" t="s">
        <v>340</v>
      </c>
      <c r="E114" s="63"/>
      <c r="F114" s="88">
        <f>F97</f>
        <v>0</v>
      </c>
      <c r="G114" s="33"/>
    </row>
    <row r="115" spans="2:7" ht="13.5" customHeight="1" x14ac:dyDescent="0.2">
      <c r="B115" s="229"/>
      <c r="C115" s="42" t="s">
        <v>341</v>
      </c>
      <c r="D115" s="63" t="s">
        <v>342</v>
      </c>
      <c r="E115" s="63"/>
      <c r="F115" s="88">
        <f>F106</f>
        <v>6.4</v>
      </c>
      <c r="G115" s="33"/>
    </row>
    <row r="116" spans="2:7" ht="13.5" customHeight="1" x14ac:dyDescent="0.2">
      <c r="B116" s="229"/>
      <c r="C116" s="43" t="s">
        <v>343</v>
      </c>
      <c r="D116" s="39" t="s">
        <v>344</v>
      </c>
      <c r="E116" s="40"/>
      <c r="F116" s="67">
        <f>SUM(F108:F115)</f>
        <v>6.4</v>
      </c>
      <c r="G116" s="23" t="s">
        <v>345</v>
      </c>
    </row>
    <row r="117" spans="2:7" ht="13.5" customHeight="1" x14ac:dyDescent="0.2">
      <c r="B117" s="229"/>
      <c r="C117" s="43" t="s">
        <v>346</v>
      </c>
      <c r="D117" s="39" t="s">
        <v>347</v>
      </c>
      <c r="E117" s="33"/>
      <c r="F117" s="66">
        <f>F116/20</f>
        <v>0.32</v>
      </c>
      <c r="G117" s="23" t="s">
        <v>345</v>
      </c>
    </row>
    <row r="118" spans="2:7" s="294" customFormat="1" x14ac:dyDescent="0.2">
      <c r="C118" s="295"/>
    </row>
    <row r="119" spans="2:7" s="294" customFormat="1" x14ac:dyDescent="0.2">
      <c r="C119" s="295"/>
    </row>
  </sheetData>
  <mergeCells count="9">
    <mergeCell ref="B99:B106"/>
    <mergeCell ref="B108:B117"/>
    <mergeCell ref="B85:B95"/>
    <mergeCell ref="B4:G4"/>
    <mergeCell ref="B7:B8"/>
    <mergeCell ref="B72:B83"/>
    <mergeCell ref="B60:B70"/>
    <mergeCell ref="B10:B25"/>
    <mergeCell ref="B27:B58"/>
  </mergeCells>
  <phoneticPr fontId="5" type="noConversion"/>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86513-B42F-466C-8A0E-CFAFA5AEF629}">
  <dimension ref="A1:M120"/>
  <sheetViews>
    <sheetView zoomScaleNormal="100" workbookViewId="0">
      <pane ySplit="4" topLeftCell="A86" activePane="bottomLeft" state="frozen"/>
      <selection pane="bottomLeft"/>
    </sheetView>
  </sheetViews>
  <sheetFormatPr defaultColWidth="0" defaultRowHeight="12.75" zeroHeight="1" x14ac:dyDescent="0.2"/>
  <cols>
    <col min="1" max="1" width="4.85546875" style="294" customWidth="1"/>
    <col min="2" max="2" width="16.140625" style="25" customWidth="1"/>
    <col min="3" max="3" width="7" style="32" customWidth="1"/>
    <col min="4" max="4" width="75.5703125" style="25" customWidth="1"/>
    <col min="5" max="5" width="8.7109375" style="25" customWidth="1"/>
    <col min="6" max="6" width="14.140625" style="25" customWidth="1"/>
    <col min="7" max="7" width="48.7109375" style="25" customWidth="1"/>
    <col min="8" max="8" width="8.7109375" style="294" customWidth="1"/>
    <col min="9" max="13" width="0" style="25" hidden="1"/>
    <col min="14" max="16384" width="8.7109375" style="25" hidden="1"/>
  </cols>
  <sheetData>
    <row r="1" spans="2:13" s="294" customFormat="1" x14ac:dyDescent="0.2">
      <c r="C1" s="295"/>
    </row>
    <row r="2" spans="2:13" s="294" customFormat="1" ht="15.75" x14ac:dyDescent="0.2">
      <c r="B2" s="296" t="s">
        <v>127</v>
      </c>
      <c r="C2" s="297"/>
    </row>
    <row r="3" spans="2:13" s="294" customFormat="1" ht="13.5" thickBot="1" x14ac:dyDescent="0.25">
      <c r="C3" s="295"/>
    </row>
    <row r="4" spans="2:13" ht="97.9" customHeight="1" thickBot="1" x14ac:dyDescent="0.25">
      <c r="B4" s="230" t="s">
        <v>537</v>
      </c>
      <c r="C4" s="231"/>
      <c r="D4" s="231"/>
      <c r="E4" s="231"/>
      <c r="F4" s="231"/>
      <c r="G4" s="232"/>
      <c r="H4" s="298"/>
      <c r="I4" s="58"/>
      <c r="J4" s="58"/>
      <c r="K4" s="58"/>
      <c r="L4" s="58"/>
      <c r="M4" s="58"/>
    </row>
    <row r="5" spans="2:13" x14ac:dyDescent="0.2"/>
    <row r="6" spans="2:13" ht="25.9" customHeight="1" x14ac:dyDescent="0.2">
      <c r="B6" s="27" t="s">
        <v>128</v>
      </c>
      <c r="C6" s="41" t="s">
        <v>129</v>
      </c>
      <c r="D6" s="27" t="s">
        <v>130</v>
      </c>
      <c r="E6" s="41" t="s">
        <v>131</v>
      </c>
      <c r="F6" s="6" t="s">
        <v>132</v>
      </c>
      <c r="G6" s="30" t="s">
        <v>133</v>
      </c>
    </row>
    <row r="7" spans="2:13" ht="76.5" x14ac:dyDescent="0.2">
      <c r="B7" s="233" t="s">
        <v>134</v>
      </c>
      <c r="C7" s="42" t="s">
        <v>135</v>
      </c>
      <c r="D7" s="22" t="s">
        <v>136</v>
      </c>
      <c r="E7" s="48">
        <v>1.5</v>
      </c>
      <c r="F7" s="49"/>
      <c r="G7" s="33"/>
    </row>
    <row r="8" spans="2:13" x14ac:dyDescent="0.2">
      <c r="B8" s="233"/>
      <c r="C8" s="43" t="s">
        <v>137</v>
      </c>
      <c r="D8" s="39" t="s">
        <v>138</v>
      </c>
      <c r="E8" s="50"/>
      <c r="F8" s="51">
        <f>'EE CO2e solvents+processes'!C27*E7</f>
        <v>0.75</v>
      </c>
      <c r="G8" s="33"/>
    </row>
    <row r="9" spans="2:13" x14ac:dyDescent="0.2">
      <c r="C9" s="44"/>
      <c r="D9" s="26"/>
      <c r="E9" s="52"/>
      <c r="F9" s="52"/>
    </row>
    <row r="10" spans="2:13" ht="51" x14ac:dyDescent="0.2">
      <c r="B10" s="229" t="s">
        <v>139</v>
      </c>
      <c r="C10" s="45" t="s">
        <v>140</v>
      </c>
      <c r="D10" s="24" t="s">
        <v>348</v>
      </c>
      <c r="E10" s="48">
        <v>1</v>
      </c>
      <c r="F10" s="53"/>
      <c r="G10" s="33"/>
    </row>
    <row r="11" spans="2:13" ht="70.150000000000006" customHeight="1" x14ac:dyDescent="0.2">
      <c r="B11" s="229"/>
      <c r="C11" s="45" t="s">
        <v>142</v>
      </c>
      <c r="D11" s="24" t="s">
        <v>143</v>
      </c>
      <c r="E11" s="48">
        <v>9</v>
      </c>
      <c r="F11" s="53"/>
      <c r="G11" s="33"/>
    </row>
    <row r="12" spans="2:13" x14ac:dyDescent="0.2">
      <c r="B12" s="229"/>
      <c r="C12" s="46" t="s">
        <v>144</v>
      </c>
      <c r="D12" s="29" t="s">
        <v>145</v>
      </c>
      <c r="E12" s="53"/>
      <c r="F12" s="54">
        <f>E$10*E11*'EE CO2e solvents+processes'!C29*E$7</f>
        <v>2.7</v>
      </c>
      <c r="G12" s="33"/>
    </row>
    <row r="13" spans="2:13" ht="38.25" x14ac:dyDescent="0.2">
      <c r="B13" s="229"/>
      <c r="C13" s="45" t="s">
        <v>146</v>
      </c>
      <c r="D13" s="34" t="s">
        <v>147</v>
      </c>
      <c r="E13" s="48">
        <v>2</v>
      </c>
      <c r="F13" s="53"/>
      <c r="G13" s="33"/>
    </row>
    <row r="14" spans="2:13" x14ac:dyDescent="0.2">
      <c r="B14" s="229"/>
      <c r="C14" s="46" t="s">
        <v>148</v>
      </c>
      <c r="D14" s="29" t="s">
        <v>149</v>
      </c>
      <c r="E14" s="54"/>
      <c r="F14" s="54">
        <f>E$10*E13*'EE CO2e solvents+processes'!C28*E$7</f>
        <v>1.6500000000000001</v>
      </c>
      <c r="G14" s="33"/>
    </row>
    <row r="15" spans="2:13" ht="38.25" x14ac:dyDescent="0.2">
      <c r="B15" s="229"/>
      <c r="C15" s="45" t="s">
        <v>150</v>
      </c>
      <c r="D15" s="34" t="s">
        <v>151</v>
      </c>
      <c r="E15" s="48">
        <v>1</v>
      </c>
      <c r="F15" s="53"/>
      <c r="G15" s="33"/>
    </row>
    <row r="16" spans="2:13" x14ac:dyDescent="0.2">
      <c r="B16" s="229"/>
      <c r="C16" s="46" t="s">
        <v>152</v>
      </c>
      <c r="D16" s="29" t="s">
        <v>153</v>
      </c>
      <c r="E16" s="53"/>
      <c r="F16" s="54">
        <f>E$10*E15*'EE CO2e solvents+processes'!C30*E$7</f>
        <v>0.30000000000000004</v>
      </c>
      <c r="G16" s="33"/>
    </row>
    <row r="17" spans="2:7" ht="25.5" x14ac:dyDescent="0.2">
      <c r="B17" s="229"/>
      <c r="C17" s="45" t="s">
        <v>154</v>
      </c>
      <c r="D17" s="34" t="s">
        <v>155</v>
      </c>
      <c r="E17" s="48">
        <v>1</v>
      </c>
      <c r="F17" s="53"/>
      <c r="G17" s="33"/>
    </row>
    <row r="18" spans="2:7" x14ac:dyDescent="0.2">
      <c r="B18" s="229"/>
      <c r="C18" s="46" t="s">
        <v>156</v>
      </c>
      <c r="D18" s="29" t="s">
        <v>157</v>
      </c>
      <c r="E18" s="53"/>
      <c r="F18" s="54">
        <f>E$10*E17*'EE CO2e solvents+processes'!C31*E$7</f>
        <v>0.30000000000000004</v>
      </c>
      <c r="G18" s="33"/>
    </row>
    <row r="19" spans="2:7" ht="25.5" x14ac:dyDescent="0.2">
      <c r="B19" s="229"/>
      <c r="C19" s="45" t="s">
        <v>158</v>
      </c>
      <c r="D19" s="34" t="s">
        <v>159</v>
      </c>
      <c r="E19" s="48">
        <v>1</v>
      </c>
      <c r="F19" s="53"/>
      <c r="G19" s="33"/>
    </row>
    <row r="20" spans="2:7" x14ac:dyDescent="0.2">
      <c r="B20" s="229"/>
      <c r="C20" s="46" t="s">
        <v>160</v>
      </c>
      <c r="D20" s="29" t="s">
        <v>161</v>
      </c>
      <c r="E20" s="53"/>
      <c r="F20" s="54">
        <f>E$10*E19*'EE CO2e solvents+processes'!C32*E$7</f>
        <v>0.44999999999999996</v>
      </c>
      <c r="G20" s="33"/>
    </row>
    <row r="21" spans="2:7" ht="25.5" x14ac:dyDescent="0.2">
      <c r="B21" s="229"/>
      <c r="C21" s="45" t="s">
        <v>162</v>
      </c>
      <c r="D21" s="34" t="s">
        <v>163</v>
      </c>
      <c r="E21" s="48">
        <v>2</v>
      </c>
      <c r="F21" s="53"/>
      <c r="G21" s="33"/>
    </row>
    <row r="22" spans="2:7" x14ac:dyDescent="0.2">
      <c r="B22" s="229"/>
      <c r="C22" s="46" t="s">
        <v>164</v>
      </c>
      <c r="D22" s="29" t="s">
        <v>165</v>
      </c>
      <c r="E22" s="53"/>
      <c r="F22" s="54">
        <f>E$10*E21*'EE CO2e solvents+processes'!C33*E$7</f>
        <v>0.60000000000000009</v>
      </c>
      <c r="G22" s="33"/>
    </row>
    <row r="23" spans="2:7" ht="51" x14ac:dyDescent="0.2">
      <c r="B23" s="229"/>
      <c r="C23" s="45" t="s">
        <v>166</v>
      </c>
      <c r="D23" s="22" t="s">
        <v>167</v>
      </c>
      <c r="E23" s="48"/>
      <c r="F23" s="53"/>
      <c r="G23" s="33"/>
    </row>
    <row r="24" spans="2:7" x14ac:dyDescent="0.2">
      <c r="B24" s="229"/>
      <c r="C24" s="46" t="s">
        <v>168</v>
      </c>
      <c r="D24" s="35" t="s">
        <v>169</v>
      </c>
      <c r="E24" s="53"/>
      <c r="F24" s="53">
        <f>E23</f>
        <v>0</v>
      </c>
      <c r="G24" s="33"/>
    </row>
    <row r="25" spans="2:7" x14ac:dyDescent="0.2">
      <c r="B25" s="229"/>
      <c r="C25" s="47" t="s">
        <v>170</v>
      </c>
      <c r="D25" s="37" t="s">
        <v>171</v>
      </c>
      <c r="E25" s="55"/>
      <c r="F25" s="50">
        <f>F12+F14+F16+F18+F20+F22+F24</f>
        <v>6</v>
      </c>
      <c r="G25" s="33"/>
    </row>
    <row r="26" spans="2:7" x14ac:dyDescent="0.2">
      <c r="E26" s="32"/>
      <c r="F26" s="32"/>
    </row>
    <row r="27" spans="2:7" ht="38.25" x14ac:dyDescent="0.2">
      <c r="B27" s="234" t="s">
        <v>172</v>
      </c>
      <c r="C27" s="42" t="s">
        <v>173</v>
      </c>
      <c r="D27" s="22" t="s">
        <v>174</v>
      </c>
      <c r="E27" s="75">
        <v>9</v>
      </c>
      <c r="F27" s="53"/>
      <c r="G27" s="33"/>
    </row>
    <row r="28" spans="2:7" ht="51" x14ac:dyDescent="0.2">
      <c r="B28" s="234"/>
      <c r="C28" s="42" t="s">
        <v>175</v>
      </c>
      <c r="D28" s="22" t="s">
        <v>176</v>
      </c>
      <c r="E28" s="75">
        <v>1.72</v>
      </c>
      <c r="F28" s="53"/>
      <c r="G28" s="23" t="s">
        <v>349</v>
      </c>
    </row>
    <row r="29" spans="2:7" ht="38.25" x14ac:dyDescent="0.2">
      <c r="B29" s="234"/>
      <c r="C29" s="42" t="s">
        <v>177</v>
      </c>
      <c r="D29" s="22" t="s">
        <v>178</v>
      </c>
      <c r="E29" s="75">
        <v>206</v>
      </c>
      <c r="F29" s="53"/>
      <c r="G29" s="23" t="s">
        <v>350</v>
      </c>
    </row>
    <row r="30" spans="2:7" x14ac:dyDescent="0.2">
      <c r="B30" s="234"/>
      <c r="C30" s="42" t="s">
        <v>179</v>
      </c>
      <c r="D30" s="23" t="s">
        <v>180</v>
      </c>
      <c r="E30" s="75">
        <v>120</v>
      </c>
      <c r="F30" s="53"/>
      <c r="G30" s="23" t="s">
        <v>351</v>
      </c>
    </row>
    <row r="31" spans="2:7" ht="25.5" x14ac:dyDescent="0.2">
      <c r="B31" s="234"/>
      <c r="C31" s="42" t="s">
        <v>181</v>
      </c>
      <c r="D31" s="22" t="s">
        <v>182</v>
      </c>
      <c r="E31" s="75">
        <v>1</v>
      </c>
      <c r="F31" s="53"/>
      <c r="G31" s="22" t="s">
        <v>352</v>
      </c>
    </row>
    <row r="32" spans="2:7" ht="25.5" x14ac:dyDescent="0.2">
      <c r="B32" s="234"/>
      <c r="C32" s="42" t="s">
        <v>183</v>
      </c>
      <c r="D32" s="22" t="s">
        <v>353</v>
      </c>
      <c r="E32" s="75">
        <v>0.3</v>
      </c>
      <c r="F32" s="53"/>
      <c r="G32" s="33"/>
    </row>
    <row r="33" spans="2:7" x14ac:dyDescent="0.2">
      <c r="B33" s="234"/>
      <c r="C33" s="42" t="s">
        <v>185</v>
      </c>
      <c r="D33" s="29" t="s">
        <v>186</v>
      </c>
      <c r="E33" s="53"/>
      <c r="F33" s="59">
        <f>IF(E31=0,0,(E27+1)*E28*(E30-20)/E31/E32/1000)</f>
        <v>5.7333333333333343</v>
      </c>
      <c r="G33" s="33"/>
    </row>
    <row r="34" spans="2:7" ht="38.25" x14ac:dyDescent="0.2">
      <c r="B34" s="234"/>
      <c r="C34" s="42" t="s">
        <v>187</v>
      </c>
      <c r="D34" s="22" t="s">
        <v>188</v>
      </c>
      <c r="E34" s="48">
        <v>1</v>
      </c>
      <c r="F34" s="53"/>
      <c r="G34" s="33"/>
    </row>
    <row r="35" spans="2:7" x14ac:dyDescent="0.2">
      <c r="B35" s="234"/>
      <c r="C35" s="42" t="s">
        <v>189</v>
      </c>
      <c r="D35" s="29" t="s">
        <v>190</v>
      </c>
      <c r="E35" s="53"/>
      <c r="F35" s="54">
        <f>E34</f>
        <v>1</v>
      </c>
      <c r="G35" s="33"/>
    </row>
    <row r="36" spans="2:7" ht="38.25" x14ac:dyDescent="0.2">
      <c r="B36" s="234"/>
      <c r="C36" s="42" t="s">
        <v>191</v>
      </c>
      <c r="D36" s="22" t="s">
        <v>192</v>
      </c>
      <c r="E36" s="48">
        <v>1</v>
      </c>
      <c r="F36" s="53"/>
      <c r="G36" s="22" t="s">
        <v>354</v>
      </c>
    </row>
    <row r="37" spans="2:7" ht="38.25" x14ac:dyDescent="0.2">
      <c r="B37" s="234"/>
      <c r="C37" s="42" t="s">
        <v>193</v>
      </c>
      <c r="D37" s="22" t="s">
        <v>194</v>
      </c>
      <c r="E37" s="48">
        <v>372</v>
      </c>
      <c r="F37" s="53"/>
      <c r="G37" s="23" t="s">
        <v>355</v>
      </c>
    </row>
    <row r="38" spans="2:7" ht="25.5" x14ac:dyDescent="0.2">
      <c r="B38" s="234"/>
      <c r="C38" s="42" t="s">
        <v>195</v>
      </c>
      <c r="D38" s="22" t="s">
        <v>196</v>
      </c>
      <c r="E38" s="48">
        <v>140</v>
      </c>
      <c r="F38" s="53"/>
      <c r="G38" s="23" t="s">
        <v>350</v>
      </c>
    </row>
    <row r="39" spans="2:7" ht="25.5" x14ac:dyDescent="0.2">
      <c r="B39" s="234"/>
      <c r="C39" s="42" t="s">
        <v>197</v>
      </c>
      <c r="D39" s="22" t="s">
        <v>198</v>
      </c>
      <c r="E39" s="48">
        <v>197</v>
      </c>
      <c r="F39" s="53"/>
      <c r="G39" s="23" t="s">
        <v>355</v>
      </c>
    </row>
    <row r="40" spans="2:7" x14ac:dyDescent="0.2">
      <c r="B40" s="234"/>
      <c r="C40" s="42" t="s">
        <v>199</v>
      </c>
      <c r="D40" s="35" t="s">
        <v>200</v>
      </c>
      <c r="E40" s="54">
        <f>MIN(E38,E39)</f>
        <v>140</v>
      </c>
      <c r="F40" s="53"/>
      <c r="G40" s="33"/>
    </row>
    <row r="41" spans="2:7" x14ac:dyDescent="0.2">
      <c r="B41" s="234"/>
      <c r="C41" s="42" t="s">
        <v>201</v>
      </c>
      <c r="D41" s="35" t="s">
        <v>202</v>
      </c>
      <c r="E41" s="53"/>
      <c r="F41" s="59">
        <f>(E36+E27)*E28*(E40-20)/E31/E32/1000</f>
        <v>6.88</v>
      </c>
      <c r="G41" s="33"/>
    </row>
    <row r="42" spans="2:7" x14ac:dyDescent="0.2">
      <c r="B42" s="234"/>
      <c r="C42" s="42" t="s">
        <v>203</v>
      </c>
      <c r="D42" s="29" t="s">
        <v>204</v>
      </c>
      <c r="E42" s="53"/>
      <c r="F42" s="72">
        <f>IF(E38&lt;E39,1,0)*E27*E29/E31/E32/1000</f>
        <v>6.18</v>
      </c>
      <c r="G42" s="33"/>
    </row>
    <row r="43" spans="2:7" x14ac:dyDescent="0.2">
      <c r="B43" s="234"/>
      <c r="C43" s="42" t="s">
        <v>205</v>
      </c>
      <c r="D43" s="29" t="s">
        <v>206</v>
      </c>
      <c r="E43" s="53"/>
      <c r="F43" s="72">
        <f>IF(E38&gt;E39,1,0)*E36*E37/E31/E32/1000</f>
        <v>0</v>
      </c>
      <c r="G43" s="73"/>
    </row>
    <row r="44" spans="2:7" ht="38.25" x14ac:dyDescent="0.2">
      <c r="B44" s="234"/>
      <c r="C44" s="42" t="s">
        <v>207</v>
      </c>
      <c r="D44" s="35" t="s">
        <v>208</v>
      </c>
      <c r="E44" s="53"/>
      <c r="F44" s="60">
        <f>(2*E28*(E38-20)+E29)/E31/1000</f>
        <v>0.61879999999999991</v>
      </c>
      <c r="G44" s="73"/>
    </row>
    <row r="45" spans="2:7" ht="25.5" x14ac:dyDescent="0.2">
      <c r="B45" s="234"/>
      <c r="C45" s="42" t="s">
        <v>209</v>
      </c>
      <c r="D45" s="34" t="s">
        <v>210</v>
      </c>
      <c r="E45" s="81">
        <v>1</v>
      </c>
      <c r="F45" s="53"/>
      <c r="G45" s="33"/>
    </row>
    <row r="46" spans="2:7" ht="25.5" x14ac:dyDescent="0.2">
      <c r="B46" s="234"/>
      <c r="C46" s="42" t="s">
        <v>211</v>
      </c>
      <c r="D46" s="34" t="s">
        <v>212</v>
      </c>
      <c r="E46" s="48">
        <v>1</v>
      </c>
      <c r="F46" s="53"/>
      <c r="G46" s="22"/>
    </row>
    <row r="47" spans="2:7" x14ac:dyDescent="0.2">
      <c r="B47" s="234"/>
      <c r="C47" s="42" t="s">
        <v>213</v>
      </c>
      <c r="D47" s="35" t="s">
        <v>214</v>
      </c>
      <c r="E47" s="77"/>
      <c r="F47" s="60">
        <f>E27*E45+E36*E46</f>
        <v>10</v>
      </c>
      <c r="G47" s="73"/>
    </row>
    <row r="48" spans="2:7" ht="25.5" x14ac:dyDescent="0.2">
      <c r="B48" s="234"/>
      <c r="C48" s="42" t="s">
        <v>215</v>
      </c>
      <c r="D48" s="22" t="s">
        <v>216</v>
      </c>
      <c r="E48" s="61">
        <v>0.01</v>
      </c>
      <c r="F48" s="53"/>
      <c r="G48" s="33"/>
    </row>
    <row r="49" spans="2:7" ht="25.5" x14ac:dyDescent="0.2">
      <c r="B49" s="234"/>
      <c r="C49" s="42" t="s">
        <v>217</v>
      </c>
      <c r="D49" s="22" t="s">
        <v>218</v>
      </c>
      <c r="E49" s="48">
        <v>47</v>
      </c>
      <c r="F49" s="53"/>
      <c r="G49" s="22" t="s">
        <v>356</v>
      </c>
    </row>
    <row r="50" spans="2:7" ht="25.5" x14ac:dyDescent="0.2">
      <c r="B50" s="234"/>
      <c r="C50" s="42" t="s">
        <v>219</v>
      </c>
      <c r="D50" s="22" t="s">
        <v>220</v>
      </c>
      <c r="E50" s="48">
        <v>1</v>
      </c>
      <c r="F50" s="53"/>
      <c r="G50" s="33"/>
    </row>
    <row r="51" spans="2:7" x14ac:dyDescent="0.2">
      <c r="B51" s="234"/>
      <c r="C51" s="42" t="s">
        <v>221</v>
      </c>
      <c r="D51" s="35" t="s">
        <v>222</v>
      </c>
      <c r="E51" s="53"/>
      <c r="F51" s="54">
        <f>E27*E48*(E49+E50)/E31</f>
        <v>4.32</v>
      </c>
      <c r="G51" s="33"/>
    </row>
    <row r="52" spans="2:7" ht="25.5" x14ac:dyDescent="0.2">
      <c r="B52" s="234"/>
      <c r="C52" s="42" t="s">
        <v>223</v>
      </c>
      <c r="D52" s="22" t="s">
        <v>224</v>
      </c>
      <c r="E52" s="61">
        <v>0.01</v>
      </c>
      <c r="F52" s="53"/>
      <c r="G52" s="33"/>
    </row>
    <row r="53" spans="2:7" ht="25.5" x14ac:dyDescent="0.2">
      <c r="B53" s="234"/>
      <c r="C53" s="42" t="s">
        <v>225</v>
      </c>
      <c r="D53" s="22" t="s">
        <v>226</v>
      </c>
      <c r="E53" s="48">
        <v>60</v>
      </c>
      <c r="F53" s="53"/>
      <c r="G53" s="22" t="s">
        <v>357</v>
      </c>
    </row>
    <row r="54" spans="2:7" ht="25.5" x14ac:dyDescent="0.2">
      <c r="B54" s="234"/>
      <c r="C54" s="42" t="s">
        <v>227</v>
      </c>
      <c r="D54" s="22" t="s">
        <v>228</v>
      </c>
      <c r="E54" s="48">
        <v>1</v>
      </c>
      <c r="F54" s="53"/>
      <c r="G54" s="33"/>
    </row>
    <row r="55" spans="2:7" x14ac:dyDescent="0.2">
      <c r="B55" s="234"/>
      <c r="C55" s="42" t="s">
        <v>229</v>
      </c>
      <c r="D55" s="35" t="s">
        <v>222</v>
      </c>
      <c r="E55" s="53"/>
      <c r="F55" s="54">
        <f>E36*E52*(E53+E54)/E31</f>
        <v>0.61</v>
      </c>
      <c r="G55" s="33"/>
    </row>
    <row r="56" spans="2:7" ht="25.5" x14ac:dyDescent="0.2">
      <c r="B56" s="234"/>
      <c r="C56" s="42" t="s">
        <v>230</v>
      </c>
      <c r="D56" s="22" t="s">
        <v>231</v>
      </c>
      <c r="E56" s="48"/>
      <c r="F56" s="53"/>
      <c r="G56" s="24"/>
    </row>
    <row r="57" spans="2:7" x14ac:dyDescent="0.2">
      <c r="B57" s="234"/>
      <c r="C57" s="42" t="s">
        <v>232</v>
      </c>
      <c r="D57" s="35" t="s">
        <v>233</v>
      </c>
      <c r="E57" s="53"/>
      <c r="F57" s="54">
        <f>E56</f>
        <v>0</v>
      </c>
      <c r="G57" s="33"/>
    </row>
    <row r="58" spans="2:7" x14ac:dyDescent="0.2">
      <c r="B58" s="234"/>
      <c r="C58" s="43" t="s">
        <v>234</v>
      </c>
      <c r="D58" s="37" t="s">
        <v>235</v>
      </c>
      <c r="E58" s="55"/>
      <c r="F58" s="56">
        <f>IF(E32=0,0,F33+F35+F41+F42+F43+F44+F51+F57)</f>
        <v>24.732133333333334</v>
      </c>
      <c r="G58" s="33"/>
    </row>
    <row r="59" spans="2:7" x14ac:dyDescent="0.2">
      <c r="D59" s="36"/>
      <c r="E59" s="57"/>
      <c r="F59" s="57"/>
    </row>
    <row r="60" spans="2:7" x14ac:dyDescent="0.2">
      <c r="B60" s="229" t="s">
        <v>236</v>
      </c>
      <c r="C60" s="45" t="s">
        <v>237</v>
      </c>
      <c r="D60" s="23" t="s">
        <v>238</v>
      </c>
      <c r="E60" s="48"/>
      <c r="F60" s="49"/>
      <c r="G60" s="33"/>
    </row>
    <row r="61" spans="2:7" ht="25.5" x14ac:dyDescent="0.2">
      <c r="B61" s="229"/>
      <c r="C61" s="45" t="s">
        <v>239</v>
      </c>
      <c r="D61" s="22" t="s">
        <v>240</v>
      </c>
      <c r="E61" s="48"/>
      <c r="F61" s="49"/>
      <c r="G61" s="33"/>
    </row>
    <row r="62" spans="2:7" ht="38.25" x14ac:dyDescent="0.2">
      <c r="B62" s="229"/>
      <c r="C62" s="45" t="s">
        <v>241</v>
      </c>
      <c r="D62" s="22" t="s">
        <v>242</v>
      </c>
      <c r="E62" s="48"/>
      <c r="F62" s="49"/>
      <c r="G62" s="33"/>
    </row>
    <row r="63" spans="2:7" ht="51" customHeight="1" x14ac:dyDescent="0.2">
      <c r="B63" s="229"/>
      <c r="C63" s="45" t="s">
        <v>243</v>
      </c>
      <c r="D63" s="22" t="s">
        <v>244</v>
      </c>
      <c r="E63" s="48"/>
      <c r="F63" s="49"/>
      <c r="G63" s="33"/>
    </row>
    <row r="64" spans="2:7" ht="51" x14ac:dyDescent="0.2">
      <c r="B64" s="229"/>
      <c r="C64" s="45" t="s">
        <v>245</v>
      </c>
      <c r="D64" s="22" t="s">
        <v>246</v>
      </c>
      <c r="E64" s="48"/>
      <c r="F64" s="49"/>
      <c r="G64" s="33"/>
    </row>
    <row r="65" spans="1:8" s="79" customFormat="1" ht="38.25" x14ac:dyDescent="0.2">
      <c r="A65" s="294"/>
      <c r="B65" s="229"/>
      <c r="C65" s="76" t="s">
        <v>247</v>
      </c>
      <c r="D65" s="24" t="s">
        <v>248</v>
      </c>
      <c r="E65" s="48"/>
      <c r="F65" s="78"/>
      <c r="G65" s="73"/>
      <c r="H65" s="294"/>
    </row>
    <row r="66" spans="1:8" s="79" customFormat="1" ht="38.25" x14ac:dyDescent="0.2">
      <c r="A66" s="294"/>
      <c r="B66" s="229"/>
      <c r="C66" s="76" t="s">
        <v>249</v>
      </c>
      <c r="D66" s="24" t="s">
        <v>250</v>
      </c>
      <c r="E66" s="48"/>
      <c r="F66" s="78"/>
      <c r="G66" s="73"/>
      <c r="H66" s="294"/>
    </row>
    <row r="67" spans="1:8" ht="38.25" x14ac:dyDescent="0.2">
      <c r="B67" s="229"/>
      <c r="C67" s="76" t="s">
        <v>251</v>
      </c>
      <c r="D67" s="22" t="s">
        <v>252</v>
      </c>
      <c r="E67" s="48"/>
      <c r="F67" s="49"/>
      <c r="G67" s="33"/>
    </row>
    <row r="68" spans="1:8" ht="38.25" x14ac:dyDescent="0.2">
      <c r="B68" s="229"/>
      <c r="C68" s="76" t="s">
        <v>253</v>
      </c>
      <c r="D68" s="22" t="s">
        <v>254</v>
      </c>
      <c r="E68" s="48"/>
      <c r="F68" s="49"/>
      <c r="G68" s="33"/>
    </row>
    <row r="69" spans="1:8" ht="51" x14ac:dyDescent="0.2">
      <c r="B69" s="229"/>
      <c r="C69" s="76" t="s">
        <v>255</v>
      </c>
      <c r="D69" s="22" t="s">
        <v>256</v>
      </c>
      <c r="E69" s="48"/>
      <c r="F69" s="49"/>
      <c r="G69" s="33"/>
    </row>
    <row r="70" spans="1:8" x14ac:dyDescent="0.2">
      <c r="B70" s="229"/>
      <c r="C70" s="80" t="s">
        <v>257</v>
      </c>
      <c r="D70" s="39" t="s">
        <v>258</v>
      </c>
      <c r="E70" s="50"/>
      <c r="F70" s="51">
        <f>E60*SUM(E60:E69)</f>
        <v>0</v>
      </c>
      <c r="G70" s="33"/>
    </row>
    <row r="71" spans="1:8" x14ac:dyDescent="0.2">
      <c r="E71" s="32"/>
      <c r="F71" s="32"/>
      <c r="G71" s="33"/>
    </row>
    <row r="72" spans="1:8" ht="25.5" x14ac:dyDescent="0.2">
      <c r="B72" s="229" t="s">
        <v>259</v>
      </c>
      <c r="C72" s="45" t="s">
        <v>260</v>
      </c>
      <c r="D72" s="22" t="s">
        <v>261</v>
      </c>
      <c r="E72" s="48"/>
      <c r="F72" s="49"/>
      <c r="G72" s="33"/>
    </row>
    <row r="73" spans="1:8" ht="25.5" x14ac:dyDescent="0.2">
      <c r="B73" s="229"/>
      <c r="C73" s="45" t="s">
        <v>262</v>
      </c>
      <c r="D73" s="22" t="s">
        <v>263</v>
      </c>
      <c r="E73" s="48"/>
      <c r="F73" s="74"/>
      <c r="G73" s="33"/>
    </row>
    <row r="74" spans="1:8" x14ac:dyDescent="0.2">
      <c r="B74" s="229"/>
      <c r="C74" s="45" t="s">
        <v>264</v>
      </c>
      <c r="D74" s="23" t="s">
        <v>265</v>
      </c>
      <c r="E74" s="48"/>
      <c r="F74" s="74"/>
      <c r="G74" s="33"/>
    </row>
    <row r="75" spans="1:8" x14ac:dyDescent="0.2">
      <c r="B75" s="229"/>
      <c r="C75" s="45" t="s">
        <v>266</v>
      </c>
      <c r="D75" s="29" t="s">
        <v>267</v>
      </c>
      <c r="E75" s="53"/>
      <c r="F75" s="74">
        <f>E72*(E74-20)*2*E73/1000</f>
        <v>0</v>
      </c>
      <c r="G75" s="33"/>
    </row>
    <row r="76" spans="1:8" ht="25.5" x14ac:dyDescent="0.2">
      <c r="B76" s="229"/>
      <c r="C76" s="42" t="s">
        <v>268</v>
      </c>
      <c r="D76" s="22" t="s">
        <v>269</v>
      </c>
      <c r="E76" s="48"/>
      <c r="F76" s="74"/>
      <c r="G76" s="33"/>
    </row>
    <row r="77" spans="1:8" ht="25.5" x14ac:dyDescent="0.2">
      <c r="B77" s="229"/>
      <c r="C77" s="42" t="s">
        <v>270</v>
      </c>
      <c r="D77" s="22" t="s">
        <v>271</v>
      </c>
      <c r="E77" s="48"/>
      <c r="F77" s="74"/>
      <c r="G77" s="33"/>
    </row>
    <row r="78" spans="1:8" x14ac:dyDescent="0.2">
      <c r="B78" s="229"/>
      <c r="C78" s="42" t="s">
        <v>272</v>
      </c>
      <c r="D78" s="35" t="s">
        <v>273</v>
      </c>
      <c r="E78" s="53"/>
      <c r="F78" s="74">
        <f>E76*E77</f>
        <v>0</v>
      </c>
      <c r="G78" s="33"/>
    </row>
    <row r="79" spans="1:8" x14ac:dyDescent="0.2">
      <c r="B79" s="229"/>
      <c r="C79" s="42" t="s">
        <v>274</v>
      </c>
      <c r="D79" s="35" t="s">
        <v>275</v>
      </c>
      <c r="E79" s="53"/>
      <c r="F79" s="74">
        <f>F75-F78</f>
        <v>0</v>
      </c>
      <c r="G79" s="33"/>
    </row>
    <row r="80" spans="1:8" ht="38.25" x14ac:dyDescent="0.2">
      <c r="B80" s="229"/>
      <c r="C80" s="45" t="s">
        <v>276</v>
      </c>
      <c r="D80" s="34" t="s">
        <v>277</v>
      </c>
      <c r="E80" s="48"/>
      <c r="F80" s="74"/>
      <c r="G80" s="33"/>
    </row>
    <row r="81" spans="2:7" ht="25.5" x14ac:dyDescent="0.2">
      <c r="B81" s="229"/>
      <c r="C81" s="45" t="s">
        <v>278</v>
      </c>
      <c r="D81" s="34" t="s">
        <v>279</v>
      </c>
      <c r="E81" s="48"/>
      <c r="F81" s="74"/>
      <c r="G81" s="33"/>
    </row>
    <row r="82" spans="2:7" ht="25.5" x14ac:dyDescent="0.2">
      <c r="B82" s="229"/>
      <c r="C82" s="45" t="s">
        <v>280</v>
      </c>
      <c r="D82" s="22" t="s">
        <v>281</v>
      </c>
      <c r="E82" s="48"/>
      <c r="F82" s="74"/>
      <c r="G82" s="33"/>
    </row>
    <row r="83" spans="2:7" x14ac:dyDescent="0.2">
      <c r="B83" s="229"/>
      <c r="C83" s="43" t="s">
        <v>282</v>
      </c>
      <c r="D83" s="39" t="s">
        <v>283</v>
      </c>
      <c r="E83" s="53"/>
      <c r="F83" s="51">
        <f>E72*(F79+E80+E81+E82)</f>
        <v>0</v>
      </c>
      <c r="G83" s="33"/>
    </row>
    <row r="84" spans="2:7" x14ac:dyDescent="0.2">
      <c r="E84" s="32"/>
      <c r="F84" s="32"/>
      <c r="G84" s="33"/>
    </row>
    <row r="85" spans="2:7" x14ac:dyDescent="0.2">
      <c r="B85" s="229" t="s">
        <v>284</v>
      </c>
      <c r="C85" s="45" t="s">
        <v>285</v>
      </c>
      <c r="D85" s="23" t="s">
        <v>286</v>
      </c>
      <c r="E85" s="48"/>
      <c r="F85" s="53"/>
      <c r="G85" s="33"/>
    </row>
    <row r="86" spans="2:7" ht="25.5" x14ac:dyDescent="0.2">
      <c r="B86" s="229"/>
      <c r="C86" s="45" t="s">
        <v>287</v>
      </c>
      <c r="D86" s="22" t="s">
        <v>288</v>
      </c>
      <c r="E86" s="48"/>
      <c r="F86" s="49"/>
      <c r="G86" s="33"/>
    </row>
    <row r="87" spans="2:7" x14ac:dyDescent="0.2">
      <c r="B87" s="229"/>
      <c r="C87" s="45" t="s">
        <v>289</v>
      </c>
      <c r="D87" s="23" t="s">
        <v>290</v>
      </c>
      <c r="E87" s="48"/>
      <c r="F87" s="49"/>
      <c r="G87" s="33"/>
    </row>
    <row r="88" spans="2:7" x14ac:dyDescent="0.2">
      <c r="B88" s="229"/>
      <c r="C88" s="45" t="s">
        <v>291</v>
      </c>
      <c r="D88" s="29" t="s">
        <v>267</v>
      </c>
      <c r="E88" s="68"/>
      <c r="F88" s="49">
        <f>E85*(E87-20)*2/1000</f>
        <v>0</v>
      </c>
      <c r="G88" s="33"/>
    </row>
    <row r="89" spans="2:7" ht="25.5" x14ac:dyDescent="0.2">
      <c r="B89" s="229"/>
      <c r="C89" s="45" t="s">
        <v>292</v>
      </c>
      <c r="D89" s="22" t="s">
        <v>293</v>
      </c>
      <c r="E89" s="48"/>
      <c r="F89" s="74"/>
      <c r="G89" s="33"/>
    </row>
    <row r="90" spans="2:7" ht="25.5" x14ac:dyDescent="0.2">
      <c r="B90" s="229"/>
      <c r="C90" s="45" t="s">
        <v>294</v>
      </c>
      <c r="D90" s="22" t="s">
        <v>295</v>
      </c>
      <c r="E90" s="48"/>
      <c r="F90" s="74"/>
      <c r="G90" s="33"/>
    </row>
    <row r="91" spans="2:7" ht="25.5" x14ac:dyDescent="0.2">
      <c r="B91" s="229"/>
      <c r="C91" s="45" t="s">
        <v>296</v>
      </c>
      <c r="D91" s="35" t="s">
        <v>297</v>
      </c>
      <c r="E91" s="53"/>
      <c r="F91" s="74">
        <f>E89*E90</f>
        <v>0</v>
      </c>
      <c r="G91" s="33"/>
    </row>
    <row r="92" spans="2:7" x14ac:dyDescent="0.2">
      <c r="B92" s="229"/>
      <c r="C92" s="45" t="s">
        <v>298</v>
      </c>
      <c r="D92" s="35" t="s">
        <v>299</v>
      </c>
      <c r="E92" s="53"/>
      <c r="F92" s="74">
        <f>F88-F91</f>
        <v>0</v>
      </c>
      <c r="G92" s="33"/>
    </row>
    <row r="93" spans="2:7" ht="25.5" x14ac:dyDescent="0.2">
      <c r="B93" s="229"/>
      <c r="C93" s="45" t="s">
        <v>300</v>
      </c>
      <c r="D93" s="34" t="s">
        <v>301</v>
      </c>
      <c r="E93" s="69"/>
      <c r="F93" s="49"/>
      <c r="G93" s="33"/>
    </row>
    <row r="94" spans="2:7" ht="25.5" x14ac:dyDescent="0.2">
      <c r="B94" s="229"/>
      <c r="C94" s="45" t="s">
        <v>302</v>
      </c>
      <c r="D94" s="22" t="s">
        <v>303</v>
      </c>
      <c r="E94" s="48"/>
      <c r="F94" s="49"/>
      <c r="G94" s="33"/>
    </row>
    <row r="95" spans="2:7" x14ac:dyDescent="0.2">
      <c r="B95" s="229"/>
      <c r="C95" s="47" t="s">
        <v>304</v>
      </c>
      <c r="D95" s="39" t="s">
        <v>305</v>
      </c>
      <c r="E95" s="53"/>
      <c r="F95" s="51">
        <f>E85*(F92+E93+E94)</f>
        <v>0</v>
      </c>
      <c r="G95" s="33"/>
    </row>
    <row r="96" spans="2:7" x14ac:dyDescent="0.2">
      <c r="E96" s="32"/>
      <c r="F96" s="32"/>
    </row>
    <row r="97" spans="2:7" ht="38.25" x14ac:dyDescent="0.2">
      <c r="B97" s="62" t="s">
        <v>306</v>
      </c>
      <c r="C97" s="43" t="s">
        <v>307</v>
      </c>
      <c r="D97" s="37" t="s">
        <v>308</v>
      </c>
      <c r="E97" s="70"/>
      <c r="F97" s="50">
        <f>E97</f>
        <v>0</v>
      </c>
      <c r="G97" s="33"/>
    </row>
    <row r="98" spans="2:7" x14ac:dyDescent="0.2">
      <c r="E98" s="32"/>
      <c r="F98" s="32"/>
    </row>
    <row r="99" spans="2:7" x14ac:dyDescent="0.2">
      <c r="B99" s="229" t="s">
        <v>309</v>
      </c>
      <c r="C99" s="46" t="s">
        <v>310</v>
      </c>
      <c r="D99" s="29" t="s">
        <v>311</v>
      </c>
      <c r="E99" s="29"/>
      <c r="F99" s="54">
        <f>2*'EE CO2e solvents+processes'!C29</f>
        <v>0.4</v>
      </c>
      <c r="G99" s="33"/>
    </row>
    <row r="100" spans="2:7" x14ac:dyDescent="0.2">
      <c r="B100" s="229"/>
      <c r="C100" s="45" t="s">
        <v>312</v>
      </c>
      <c r="D100" s="23" t="s">
        <v>313</v>
      </c>
      <c r="E100" s="53"/>
      <c r="F100" s="54"/>
      <c r="G100" s="33"/>
    </row>
    <row r="101" spans="2:7" x14ac:dyDescent="0.2">
      <c r="B101" s="229"/>
      <c r="C101" s="46" t="s">
        <v>314</v>
      </c>
      <c r="D101" s="29" t="s">
        <v>315</v>
      </c>
      <c r="E101" s="53"/>
      <c r="F101" s="54">
        <f>'EE CO2e solvents+processes'!C34</f>
        <v>6</v>
      </c>
      <c r="G101" s="33"/>
    </row>
    <row r="102" spans="2:7" ht="25.5" x14ac:dyDescent="0.2">
      <c r="B102" s="229"/>
      <c r="C102" s="45" t="s">
        <v>316</v>
      </c>
      <c r="D102" s="34" t="s">
        <v>317</v>
      </c>
      <c r="E102" s="48"/>
      <c r="F102" s="53"/>
      <c r="G102" s="33"/>
    </row>
    <row r="103" spans="2:7" x14ac:dyDescent="0.2">
      <c r="B103" s="229"/>
      <c r="C103" s="46" t="s">
        <v>318</v>
      </c>
      <c r="D103" s="29" t="s">
        <v>319</v>
      </c>
      <c r="E103" s="54"/>
      <c r="F103" s="54">
        <f>E102*'EE CO2e solvents+processes'!C35</f>
        <v>0</v>
      </c>
      <c r="G103" s="33"/>
    </row>
    <row r="104" spans="2:7" ht="53.45" customHeight="1" x14ac:dyDescent="0.2">
      <c r="B104" s="229"/>
      <c r="C104" s="45" t="s">
        <v>320</v>
      </c>
      <c r="D104" s="34" t="s">
        <v>321</v>
      </c>
      <c r="E104" s="28"/>
      <c r="F104" s="33"/>
      <c r="G104" s="33"/>
    </row>
    <row r="105" spans="2:7" x14ac:dyDescent="0.2">
      <c r="B105" s="229"/>
      <c r="C105" s="46" t="s">
        <v>322</v>
      </c>
      <c r="D105" s="29" t="s">
        <v>323</v>
      </c>
      <c r="E105" s="33"/>
      <c r="F105" s="53">
        <f>E104</f>
        <v>0</v>
      </c>
      <c r="G105" s="33"/>
    </row>
    <row r="106" spans="2:7" x14ac:dyDescent="0.2">
      <c r="B106" s="229"/>
      <c r="C106" s="47" t="s">
        <v>324</v>
      </c>
      <c r="D106" s="39" t="s">
        <v>325</v>
      </c>
      <c r="E106" s="38"/>
      <c r="F106" s="55">
        <f>F99+F101+F103+F105</f>
        <v>6.4</v>
      </c>
      <c r="G106" s="33"/>
    </row>
    <row r="107" spans="2:7" x14ac:dyDescent="0.2"/>
    <row r="108" spans="2:7" x14ac:dyDescent="0.2">
      <c r="B108" s="229" t="s">
        <v>326</v>
      </c>
      <c r="C108" s="42" t="s">
        <v>327</v>
      </c>
      <c r="D108" s="63" t="s">
        <v>328</v>
      </c>
      <c r="E108" s="63"/>
      <c r="F108" s="88">
        <f>F8</f>
        <v>0.75</v>
      </c>
      <c r="G108" s="33"/>
    </row>
    <row r="109" spans="2:7" x14ac:dyDescent="0.2">
      <c r="B109" s="229"/>
      <c r="C109" s="42" t="s">
        <v>329</v>
      </c>
      <c r="D109" s="64" t="s">
        <v>330</v>
      </c>
      <c r="E109" s="63"/>
      <c r="F109" s="88">
        <f>F25</f>
        <v>6</v>
      </c>
      <c r="G109" s="33"/>
    </row>
    <row r="110" spans="2:7" x14ac:dyDescent="0.2">
      <c r="B110" s="229"/>
      <c r="C110" s="42" t="s">
        <v>331</v>
      </c>
      <c r="D110" s="64" t="s">
        <v>332</v>
      </c>
      <c r="E110" s="63"/>
      <c r="F110" s="65">
        <f>F58</f>
        <v>24.732133333333334</v>
      </c>
      <c r="G110" s="33"/>
    </row>
    <row r="111" spans="2:7" x14ac:dyDescent="0.2">
      <c r="B111" s="229"/>
      <c r="C111" s="42" t="s">
        <v>333</v>
      </c>
      <c r="D111" s="63" t="s">
        <v>334</v>
      </c>
      <c r="E111" s="63"/>
      <c r="F111" s="88">
        <f>F70</f>
        <v>0</v>
      </c>
      <c r="G111" s="33"/>
    </row>
    <row r="112" spans="2:7" x14ac:dyDescent="0.2">
      <c r="B112" s="229"/>
      <c r="C112" s="42" t="s">
        <v>335</v>
      </c>
      <c r="D112" s="63" t="s">
        <v>336</v>
      </c>
      <c r="E112" s="63"/>
      <c r="F112" s="88">
        <f>F83</f>
        <v>0</v>
      </c>
      <c r="G112" s="33"/>
    </row>
    <row r="113" spans="2:7" x14ac:dyDescent="0.2">
      <c r="B113" s="229"/>
      <c r="C113" s="42" t="s">
        <v>337</v>
      </c>
      <c r="D113" s="63" t="s">
        <v>338</v>
      </c>
      <c r="E113" s="63"/>
      <c r="F113" s="88">
        <f>F95</f>
        <v>0</v>
      </c>
      <c r="G113" s="33"/>
    </row>
    <row r="114" spans="2:7" ht="25.5" x14ac:dyDescent="0.2">
      <c r="B114" s="229"/>
      <c r="C114" s="42" t="s">
        <v>339</v>
      </c>
      <c r="D114" s="64" t="s">
        <v>340</v>
      </c>
      <c r="E114" s="63"/>
      <c r="F114" s="88">
        <f>F97</f>
        <v>0</v>
      </c>
      <c r="G114" s="33"/>
    </row>
    <row r="115" spans="2:7" x14ac:dyDescent="0.2">
      <c r="B115" s="229"/>
      <c r="C115" s="42" t="s">
        <v>341</v>
      </c>
      <c r="D115" s="63" t="s">
        <v>342</v>
      </c>
      <c r="E115" s="63"/>
      <c r="F115" s="88">
        <f>F106</f>
        <v>6.4</v>
      </c>
      <c r="G115" s="33"/>
    </row>
    <row r="116" spans="2:7" x14ac:dyDescent="0.2">
      <c r="B116" s="229"/>
      <c r="C116" s="43" t="s">
        <v>343</v>
      </c>
      <c r="D116" s="39" t="s">
        <v>344</v>
      </c>
      <c r="E116" s="40"/>
      <c r="F116" s="67">
        <f>SUM(F108:F115)</f>
        <v>37.882133333333336</v>
      </c>
      <c r="G116" s="23" t="s">
        <v>345</v>
      </c>
    </row>
    <row r="117" spans="2:7" x14ac:dyDescent="0.2">
      <c r="B117" s="229"/>
      <c r="C117" s="43" t="s">
        <v>346</v>
      </c>
      <c r="D117" s="39" t="s">
        <v>347</v>
      </c>
      <c r="E117" s="33"/>
      <c r="F117" s="66">
        <f>F116/20</f>
        <v>1.8941066666666668</v>
      </c>
      <c r="G117" s="23" t="s">
        <v>345</v>
      </c>
    </row>
    <row r="118" spans="2:7" x14ac:dyDescent="0.2"/>
    <row r="119" spans="2:7" s="294" customFormat="1" x14ac:dyDescent="0.2">
      <c r="C119" s="295"/>
    </row>
    <row r="120" spans="2:7" s="294" customFormat="1" x14ac:dyDescent="0.2">
      <c r="C120" s="295"/>
    </row>
  </sheetData>
  <mergeCells count="9">
    <mergeCell ref="B85:B95"/>
    <mergeCell ref="B99:B106"/>
    <mergeCell ref="B108:B117"/>
    <mergeCell ref="B4:G4"/>
    <mergeCell ref="B7:B8"/>
    <mergeCell ref="B10:B25"/>
    <mergeCell ref="B27:B58"/>
    <mergeCell ref="B60:B70"/>
    <mergeCell ref="B72:B83"/>
  </mergeCell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644AE-C269-472B-9935-6AE887BD43AF}">
  <dimension ref="A1:A26"/>
  <sheetViews>
    <sheetView zoomScale="130" zoomScaleNormal="130" workbookViewId="0"/>
  </sheetViews>
  <sheetFormatPr defaultColWidth="0" defaultRowHeight="12.75" zeroHeight="1" x14ac:dyDescent="0.2"/>
  <cols>
    <col min="1" max="23" width="9.140625" customWidth="1"/>
    <col min="24" max="16384" width="9.140625" hidden="1"/>
  </cols>
  <sheetData>
    <row r="1" s="274" customFormat="1" x14ac:dyDescent="0.2"/>
    <row r="2" s="274" customFormat="1" x14ac:dyDescent="0.2"/>
    <row r="3" s="274" customFormat="1" x14ac:dyDescent="0.2"/>
    <row r="4" s="274" customFormat="1" x14ac:dyDescent="0.2"/>
    <row r="5" s="274" customFormat="1" x14ac:dyDescent="0.2"/>
    <row r="6" s="274" customFormat="1" x14ac:dyDescent="0.2"/>
    <row r="7" s="274" customFormat="1" x14ac:dyDescent="0.2"/>
    <row r="8" s="274" customFormat="1" x14ac:dyDescent="0.2"/>
    <row r="9" s="274" customFormat="1" x14ac:dyDescent="0.2"/>
    <row r="10" s="274" customFormat="1" x14ac:dyDescent="0.2"/>
    <row r="11" s="274" customFormat="1" x14ac:dyDescent="0.2"/>
    <row r="12" s="274" customFormat="1" x14ac:dyDescent="0.2"/>
    <row r="13" s="274" customFormat="1" x14ac:dyDescent="0.2"/>
    <row r="14" s="274" customFormat="1" x14ac:dyDescent="0.2"/>
    <row r="15" s="274" customFormat="1" x14ac:dyDescent="0.2"/>
    <row r="16" s="274" customFormat="1" x14ac:dyDescent="0.2"/>
    <row r="17" s="274" customFormat="1" x14ac:dyDescent="0.2"/>
    <row r="18" s="274" customFormat="1" x14ac:dyDescent="0.2"/>
    <row r="19" s="274" customFormat="1" x14ac:dyDescent="0.2"/>
    <row r="20" s="274" customFormat="1" x14ac:dyDescent="0.2"/>
    <row r="21" s="274" customFormat="1" x14ac:dyDescent="0.2"/>
    <row r="22" s="274" customFormat="1" x14ac:dyDescent="0.2"/>
    <row r="23" s="274" customFormat="1" x14ac:dyDescent="0.2"/>
    <row r="24" s="274" customFormat="1" x14ac:dyDescent="0.2"/>
    <row r="25" s="274" customFormat="1" x14ac:dyDescent="0.2"/>
    <row r="26" s="274" customFormat="1"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EADCF-7C22-4AE4-9D60-33CCFF976A9C}">
  <dimension ref="A1:A25"/>
  <sheetViews>
    <sheetView zoomScale="130" zoomScaleNormal="130" workbookViewId="0">
      <selection activeCell="A4" sqref="A4"/>
    </sheetView>
  </sheetViews>
  <sheetFormatPr defaultColWidth="0" defaultRowHeight="12.75" zeroHeight="1" x14ac:dyDescent="0.2"/>
  <cols>
    <col min="1" max="23" width="9.140625" style="274" customWidth="1"/>
    <col min="24" max="16384" width="9.140625" style="274"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ht="12" customHeight="1" x14ac:dyDescent="0.2"/>
    <row r="16" x14ac:dyDescent="0.2"/>
    <row r="17" x14ac:dyDescent="0.2"/>
    <row r="18" x14ac:dyDescent="0.2"/>
    <row r="19" x14ac:dyDescent="0.2"/>
    <row r="20" x14ac:dyDescent="0.2"/>
    <row r="21" x14ac:dyDescent="0.2"/>
    <row r="22" x14ac:dyDescent="0.2"/>
    <row r="23" x14ac:dyDescent="0.2"/>
    <row r="24" x14ac:dyDescent="0.2"/>
    <row r="25" x14ac:dyDescent="0.2"/>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982B7-E76E-4595-B857-E41BAC5D532D}">
  <dimension ref="A1:A24"/>
  <sheetViews>
    <sheetView zoomScale="130" zoomScaleNormal="130" workbookViewId="0">
      <selection activeCell="A3" sqref="A3"/>
    </sheetView>
  </sheetViews>
  <sheetFormatPr defaultColWidth="0" defaultRowHeight="12.75" zeroHeight="1" x14ac:dyDescent="0.2"/>
  <cols>
    <col min="1" max="23" width="9.140625" style="274" customWidth="1"/>
    <col min="24" max="16384" width="9.140625" style="274"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94FA0DDF60C94FB31D0EAF4B0AED90" ma:contentTypeVersion="19" ma:contentTypeDescription="Create a new document." ma:contentTypeScope="" ma:versionID="8800e0013429442c16ef5b78817cc6b1">
  <xsd:schema xmlns:xsd="http://www.w3.org/2001/XMLSchema" xmlns:xs="http://www.w3.org/2001/XMLSchema" xmlns:p="http://schemas.microsoft.com/office/2006/metadata/properties" xmlns:ns2="c370170f-faa4-40ac-99a3-7759a6aad259" xmlns:ns3="ea84c35e-12d2-4134-823c-5018d6421370" targetNamespace="http://schemas.microsoft.com/office/2006/metadata/properties" ma:root="true" ma:fieldsID="866cb9d2274aa002709f5b381710cd62" ns2:_="" ns3:_="">
    <xsd:import namespace="c370170f-faa4-40ac-99a3-7759a6aad259"/>
    <xsd:import namespace="ea84c35e-12d2-4134-823c-5018d64213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70170f-faa4-40ac-99a3-7759a6aad259"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97929c-21eb-47fa-921e-49f925360fad" ma:termSetId="09814cd3-568e-fe90-9814-8d621ff8fb84" ma:anchorId="fba54fb3-c3e1-fe81-a776-ca4b69148c4d" ma:open="true" ma:isKeyword="false">
      <xsd:complexType>
        <xsd:sequence>
          <xsd:element ref="pc:Terms" minOccurs="0" maxOccurs="1"/>
        </xsd:sequence>
      </xsd:complexType>
    </xsd:element>
    <xsd:element name="STATUS" ma:index="24" nillable="true" ma:displayName="STATUS" ma:format="Dropdown" ma:internalName="STATUS">
      <xsd:simpleType>
        <xsd:restriction base="dms:Text">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84c35e-12d2-4134-823c-5018d642137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7f450ad-3438-4aef-83db-ffbfaac560e3}" ma:internalName="TaxCatchAll" ma:showField="CatchAllData" ma:web="ea84c35e-12d2-4134-823c-5018d64213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370170f-faa4-40ac-99a3-7759a6aad259">
      <Terms xmlns="http://schemas.microsoft.com/office/infopath/2007/PartnerControls"/>
    </lcf76f155ced4ddcb4097134ff3c332f>
    <STATUS xmlns="c370170f-faa4-40ac-99a3-7759a6aad259" xsi:nil="true"/>
    <TaxCatchAll xmlns="ea84c35e-12d2-4134-823c-5018d642137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4CDB9F-F80B-42E6-B762-E37D9B622CF4}"/>
</file>

<file path=customXml/itemProps2.xml><?xml version="1.0" encoding="utf-8"?>
<ds:datastoreItem xmlns:ds="http://schemas.openxmlformats.org/officeDocument/2006/customXml" ds:itemID="{2397C574-CDC7-4BF0-BB11-7515838EA79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3cd0feb3-d9bf-422e-82cf-a38ff3a18603"/>
    <ds:schemaRef ds:uri="8605e230-39ef-4861-8b36-4302c084a584"/>
    <ds:schemaRef ds:uri="http://www.w3.org/XML/1998/namespace"/>
    <ds:schemaRef ds:uri="http://purl.org/dc/dcmitype/"/>
  </ds:schemaRefs>
</ds:datastoreItem>
</file>

<file path=customXml/itemProps3.xml><?xml version="1.0" encoding="utf-8"?>
<ds:datastoreItem xmlns:ds="http://schemas.openxmlformats.org/officeDocument/2006/customXml" ds:itemID="{EB0BB0B4-DB9C-424A-ABEE-9F184EBEDF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Calculator</vt:lpstr>
      <vt:lpstr>EE CO2e</vt:lpstr>
      <vt:lpstr>Process Data EE CO2e</vt:lpstr>
      <vt:lpstr>EE CO2e solvents+processes</vt:lpstr>
      <vt:lpstr>Plastics recycling calculator</vt:lpstr>
      <vt:lpstr>Ex 4-Solvent HDPE</vt:lpstr>
      <vt:lpstr>Ex1-Increase rPET</vt:lpstr>
      <vt:lpstr>Ex 2-Reduced Yield Loss</vt:lpstr>
      <vt:lpstr>Ex 3-Improved Recycling</vt:lpstr>
      <vt:lpstr>REMAN Calculator (BETA)</vt:lpstr>
      <vt:lpstr>Calculator for material EE CO2e</vt:lpstr>
      <vt:lpstr>Primary and Reman EE CO2e</vt:lpstr>
    </vt:vector>
  </TitlesOfParts>
  <Manager/>
  <Company>Yale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Eckelman</dc:creator>
  <cp:keywords/>
  <dc:description/>
  <cp:lastModifiedBy>Catherine Ciero</cp:lastModifiedBy>
  <cp:revision/>
  <dcterms:created xsi:type="dcterms:W3CDTF">2010-09-21T16:28:55Z</dcterms:created>
  <dcterms:modified xsi:type="dcterms:W3CDTF">2020-10-01T19:02:37Z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0x010100831CEB4564967B40B460620D31C67E39</vt:lpwstr>
  </property>
</Properties>
</file>